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andersgadsboll/Desktop/Skrivebord – Anderss MacBook Pro/Gadsbøll Consulting 2/Kunder/Region H/TCO 2022/3500+ kg/"/>
    </mc:Choice>
  </mc:AlternateContent>
  <xr:revisionPtr revIDLastSave="0" documentId="13_ncr:1_{210F4DBD-1E32-1244-99D1-C5C71E31AB75}" xr6:coauthVersionLast="47" xr6:coauthVersionMax="47" xr10:uidLastSave="{00000000-0000-0000-0000-000000000000}"/>
  <bookViews>
    <workbookView xWindow="0" yWindow="500" windowWidth="28800" windowHeight="15700" activeTab="1" xr2:uid="{00000000-000D-0000-FFFF-FFFF00000000}"/>
  </bookViews>
  <sheets>
    <sheet name="Datagrundlag" sheetId="1" r:id="rId1"/>
    <sheet name="Beregningsark" sheetId="2" r:id="rId2"/>
  </sheets>
  <definedNames>
    <definedName name="_xlnm._FilterDatabase" localSheetId="1" hidden="1">Beregningsark!$B$2:$AA$17</definedName>
    <definedName name="_xlnm.Criteria" localSheetId="1">Beregningsark!$C$37</definedName>
    <definedName name="_xlnm.Print_Area" localSheetId="1">Beregningsark!$A$1:$P$46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2" l="1"/>
  <c r="G35" i="2"/>
  <c r="G34" i="2"/>
  <c r="G33" i="2"/>
  <c r="G32" i="2"/>
  <c r="G31" i="2"/>
  <c r="G30" i="2"/>
  <c r="L44" i="2"/>
  <c r="L43" i="2"/>
  <c r="L42" i="2"/>
  <c r="L41" i="2"/>
  <c r="L40" i="2"/>
  <c r="L39" i="2"/>
  <c r="L38" i="2"/>
  <c r="K38" i="2"/>
  <c r="L36" i="2"/>
  <c r="L35" i="2"/>
  <c r="L34" i="2"/>
  <c r="L33" i="2"/>
  <c r="L32" i="2"/>
  <c r="L31" i="2"/>
  <c r="L30" i="2"/>
  <c r="K30" i="2"/>
  <c r="L28" i="2"/>
  <c r="L27" i="2"/>
  <c r="L26" i="2"/>
  <c r="L25" i="2"/>
  <c r="L24" i="2"/>
  <c r="L23" i="2"/>
  <c r="L22" i="2"/>
  <c r="K22" i="2"/>
  <c r="L20" i="2"/>
  <c r="L19" i="2"/>
  <c r="K11" i="1"/>
  <c r="J11" i="1"/>
  <c r="L14" i="2"/>
  <c r="L13" i="2"/>
  <c r="L11" i="2"/>
  <c r="L10" i="2"/>
  <c r="L9" i="2"/>
  <c r="L8" i="2"/>
  <c r="L7" i="2"/>
  <c r="D11" i="1"/>
  <c r="L11" i="1" s="1"/>
  <c r="O11" i="1"/>
  <c r="P11" i="1"/>
  <c r="Q11" i="1"/>
  <c r="R11" i="1"/>
  <c r="S10" i="1"/>
  <c r="U21" i="2"/>
  <c r="D23" i="2"/>
  <c r="D24" i="2"/>
  <c r="D25" i="2"/>
  <c r="D26" i="2"/>
  <c r="D27" i="2"/>
  <c r="D22" i="2"/>
  <c r="E23" i="2"/>
  <c r="E22" i="2"/>
  <c r="K12" i="1"/>
  <c r="J12" i="1"/>
  <c r="G12" i="1"/>
  <c r="F12" i="1"/>
  <c r="E12" i="1"/>
  <c r="S12" i="1" s="1"/>
  <c r="M20" i="2" s="1"/>
  <c r="C12" i="1"/>
  <c r="B12" i="1"/>
  <c r="A12" i="1"/>
  <c r="G13" i="2"/>
  <c r="C28" i="2"/>
  <c r="C22" i="2"/>
  <c r="N11" i="1" l="1"/>
  <c r="M11" i="1"/>
  <c r="D9" i="1"/>
  <c r="R9" i="1" s="1"/>
  <c r="S9" i="1"/>
  <c r="D20" i="2" s="1"/>
  <c r="G11" i="2"/>
  <c r="G10" i="2"/>
  <c r="G9" i="2"/>
  <c r="G8" i="2"/>
  <c r="G7" i="2"/>
  <c r="D28" i="2"/>
  <c r="D13" i="2"/>
  <c r="D11" i="2"/>
  <c r="D10" i="2"/>
  <c r="D9" i="2"/>
  <c r="D8" i="2"/>
  <c r="D7" i="2"/>
  <c r="I13" i="2"/>
  <c r="I11" i="2"/>
  <c r="I10" i="2"/>
  <c r="I9" i="2"/>
  <c r="I8" i="2"/>
  <c r="I7" i="2"/>
  <c r="D10" i="1"/>
  <c r="L10" i="1" s="1"/>
  <c r="I20" i="2"/>
  <c r="S8" i="1"/>
  <c r="G20" i="2" s="1"/>
  <c r="D8" i="1"/>
  <c r="M14" i="2"/>
  <c r="M28" i="2" a="1"/>
  <c r="M28" i="2" s="1"/>
  <c r="M23" i="2" a="1"/>
  <c r="M23" i="2" s="1"/>
  <c r="M24" i="2" a="1"/>
  <c r="M24" i="2" s="1"/>
  <c r="M25" i="2" a="1"/>
  <c r="M25" i="2" s="1"/>
  <c r="M26" i="2" a="1"/>
  <c r="M26" i="2" s="1"/>
  <c r="M27" i="2" a="1"/>
  <c r="M27" i="2" s="1"/>
  <c r="M22" i="2" a="1"/>
  <c r="M22" i="2" s="1"/>
  <c r="K10" i="2"/>
  <c r="J10" i="2"/>
  <c r="F10" i="2"/>
  <c r="H10" i="2"/>
  <c r="E10" i="2"/>
  <c r="C10" i="2"/>
  <c r="C13" i="2"/>
  <c r="K11" i="2"/>
  <c r="K9" i="2"/>
  <c r="C8" i="2"/>
  <c r="C23" i="2"/>
  <c r="H23" i="2"/>
  <c r="I23" i="2" s="1"/>
  <c r="F23" i="2"/>
  <c r="G23" i="2" s="1"/>
  <c r="J23" i="2"/>
  <c r="K23" i="2"/>
  <c r="C24" i="2"/>
  <c r="E24" i="2"/>
  <c r="H24" i="2"/>
  <c r="I24" i="2" s="1"/>
  <c r="F24" i="2"/>
  <c r="G24" i="2" s="1"/>
  <c r="J24" i="2"/>
  <c r="K24" i="2"/>
  <c r="C25" i="2"/>
  <c r="E25" i="2"/>
  <c r="H25" i="2"/>
  <c r="I25" i="2" s="1"/>
  <c r="F25" i="2"/>
  <c r="G25" i="2" s="1"/>
  <c r="J25" i="2"/>
  <c r="K25" i="2"/>
  <c r="C26" i="2"/>
  <c r="E26" i="2"/>
  <c r="H26" i="2"/>
  <c r="I26" i="2" s="1"/>
  <c r="F26" i="2"/>
  <c r="G26" i="2" s="1"/>
  <c r="J26" i="2"/>
  <c r="K26" i="2"/>
  <c r="C27" i="2"/>
  <c r="E27" i="2"/>
  <c r="H27" i="2"/>
  <c r="I27" i="2" s="1"/>
  <c r="F27" i="2"/>
  <c r="G27" i="2" s="1"/>
  <c r="J27" i="2"/>
  <c r="K27" i="2"/>
  <c r="E28" i="2"/>
  <c r="H28" i="2"/>
  <c r="I28" i="2" s="1"/>
  <c r="F28" i="2"/>
  <c r="G28" i="2" s="1"/>
  <c r="J28" i="2"/>
  <c r="K28" i="2"/>
  <c r="H22" i="2"/>
  <c r="I22" i="2" s="1"/>
  <c r="F22" i="2"/>
  <c r="G22" i="2" s="1"/>
  <c r="J22" i="2"/>
  <c r="J9" i="2"/>
  <c r="F9" i="2"/>
  <c r="H9" i="2"/>
  <c r="E9" i="2"/>
  <c r="C9" i="2"/>
  <c r="J11" i="2"/>
  <c r="F11" i="2"/>
  <c r="H11" i="2"/>
  <c r="E13" i="2"/>
  <c r="E11" i="2"/>
  <c r="C11" i="2"/>
  <c r="K13" i="2"/>
  <c r="J13" i="2"/>
  <c r="F13" i="2"/>
  <c r="H13" i="2"/>
  <c r="K7" i="1"/>
  <c r="K6" i="1"/>
  <c r="K5" i="1"/>
  <c r="K4" i="1"/>
  <c r="K3" i="1"/>
  <c r="K2" i="1"/>
  <c r="J7" i="1"/>
  <c r="J6" i="1"/>
  <c r="J5" i="1"/>
  <c r="J4" i="1"/>
  <c r="J3" i="1"/>
  <c r="J2" i="1"/>
  <c r="K8" i="2"/>
  <c r="T21" i="2" s="1"/>
  <c r="K7" i="2"/>
  <c r="J8" i="2"/>
  <c r="S21" i="2" s="1"/>
  <c r="J7" i="2"/>
  <c r="F8" i="2"/>
  <c r="R21" i="2" s="1"/>
  <c r="F7" i="2"/>
  <c r="H8" i="2"/>
  <c r="Q21" i="2" s="1"/>
  <c r="H7" i="2"/>
  <c r="E8" i="2"/>
  <c r="P21" i="2" s="1"/>
  <c r="E7" i="2"/>
  <c r="C7" i="2"/>
  <c r="S3" i="1"/>
  <c r="E20" i="2" s="1"/>
  <c r="S4" i="1"/>
  <c r="H20" i="2" s="1"/>
  <c r="S5" i="1"/>
  <c r="F20" i="2" s="1"/>
  <c r="S6" i="1"/>
  <c r="J20" i="2" s="1"/>
  <c r="S7" i="1"/>
  <c r="K20" i="2" s="1"/>
  <c r="S2" i="1"/>
  <c r="C20" i="2" s="1"/>
  <c r="P9" i="1" l="1"/>
  <c r="M19" i="2"/>
  <c r="D12" i="1"/>
  <c r="M8" i="1"/>
  <c r="G14" i="2"/>
  <c r="G19" i="2" s="1"/>
  <c r="D14" i="2"/>
  <c r="D19" i="2" s="1"/>
  <c r="Q9" i="1"/>
  <c r="O9" i="1"/>
  <c r="N9" i="1"/>
  <c r="M9" i="1"/>
  <c r="L9" i="1"/>
  <c r="R10" i="1"/>
  <c r="I14" i="2"/>
  <c r="I19" i="2" s="1"/>
  <c r="R8" i="1"/>
  <c r="Q8" i="1"/>
  <c r="L8" i="1"/>
  <c r="Q10" i="1"/>
  <c r="P10" i="1"/>
  <c r="O10" i="1"/>
  <c r="N10" i="1"/>
  <c r="M10" i="1"/>
  <c r="P8" i="1"/>
  <c r="O8" i="1"/>
  <c r="N8" i="1"/>
  <c r="D7" i="1"/>
  <c r="P7" i="1" s="1"/>
  <c r="D6" i="1"/>
  <c r="D3" i="1"/>
  <c r="P3" i="1" s="1"/>
  <c r="D4" i="1"/>
  <c r="D5" i="1"/>
  <c r="M5" i="1" s="1"/>
  <c r="D2" i="1"/>
  <c r="P2" i="1" s="1"/>
  <c r="D34" i="2" l="1"/>
  <c r="D42" i="2" s="1"/>
  <c r="D35" i="2"/>
  <c r="D43" i="2" s="1"/>
  <c r="D33" i="2"/>
  <c r="D41" i="2" s="1"/>
  <c r="M30" i="2"/>
  <c r="R12" i="1"/>
  <c r="Q12" i="1"/>
  <c r="L12" i="1"/>
  <c r="M33" i="2" s="1"/>
  <c r="M41" i="2" s="1"/>
  <c r="P12" i="1"/>
  <c r="O12" i="1"/>
  <c r="N12" i="1"/>
  <c r="M12" i="1"/>
  <c r="M34" i="2"/>
  <c r="M35" i="2"/>
  <c r="M36" i="2"/>
  <c r="D36" i="2"/>
  <c r="D44" i="2" s="1"/>
  <c r="D31" i="2"/>
  <c r="D39" i="2" s="1"/>
  <c r="D32" i="2"/>
  <c r="D40" i="2" s="1"/>
  <c r="M32" i="2"/>
  <c r="D30" i="2"/>
  <c r="D38" i="2" s="1"/>
  <c r="M31" i="2"/>
  <c r="M39" i="2" s="1"/>
  <c r="I31" i="2"/>
  <c r="I39" i="2" s="1"/>
  <c r="I30" i="2"/>
  <c r="I38" i="2" s="1"/>
  <c r="I36" i="2"/>
  <c r="I44" i="2" s="1"/>
  <c r="I32" i="2"/>
  <c r="I40" i="2" s="1"/>
  <c r="I35" i="2"/>
  <c r="I43" i="2" s="1"/>
  <c r="I34" i="2"/>
  <c r="I42" i="2" s="1"/>
  <c r="I33" i="2"/>
  <c r="I41" i="2" s="1"/>
  <c r="M2" i="1"/>
  <c r="Q2" i="1"/>
  <c r="M42" i="2"/>
  <c r="M44" i="2"/>
  <c r="M43" i="2"/>
  <c r="M38" i="2"/>
  <c r="M40" i="2"/>
  <c r="Q3" i="1"/>
  <c r="K14" i="2"/>
  <c r="K19" i="2" s="1"/>
  <c r="K34" i="2" s="1"/>
  <c r="O7" i="1"/>
  <c r="L7" i="1"/>
  <c r="R7" i="1"/>
  <c r="N7" i="1"/>
  <c r="E14" i="2"/>
  <c r="E19" i="2" s="1"/>
  <c r="E34" i="2" s="1"/>
  <c r="R3" i="1"/>
  <c r="L3" i="1"/>
  <c r="N3" i="1"/>
  <c r="O3" i="1"/>
  <c r="J14" i="2"/>
  <c r="J19" i="2" s="1"/>
  <c r="R6" i="1"/>
  <c r="L6" i="1"/>
  <c r="O6" i="1"/>
  <c r="N6" i="1"/>
  <c r="M7" i="1"/>
  <c r="M6" i="1"/>
  <c r="Q6" i="1"/>
  <c r="H14" i="2"/>
  <c r="H19" i="2" s="1"/>
  <c r="R4" i="1"/>
  <c r="O4" i="1"/>
  <c r="L4" i="1"/>
  <c r="N4" i="1"/>
  <c r="P4" i="1"/>
  <c r="Q7" i="1"/>
  <c r="C14" i="2"/>
  <c r="C19" i="2" s="1"/>
  <c r="N2" i="1"/>
  <c r="R2" i="1"/>
  <c r="L2" i="1"/>
  <c r="O2" i="1"/>
  <c r="M4" i="1"/>
  <c r="F14" i="2"/>
  <c r="F19" i="2" s="1"/>
  <c r="L5" i="1"/>
  <c r="N5" i="1"/>
  <c r="R5" i="1"/>
  <c r="O5" i="1"/>
  <c r="M3" i="1"/>
  <c r="P6" i="1"/>
  <c r="Q5" i="1"/>
  <c r="P5" i="1"/>
  <c r="Q4" i="1"/>
  <c r="F32" i="2" l="1"/>
  <c r="F31" i="2"/>
  <c r="F36" i="2"/>
  <c r="F35" i="2"/>
  <c r="F34" i="2"/>
  <c r="F30" i="2"/>
  <c r="F38" i="2" s="1"/>
  <c r="F33" i="2"/>
  <c r="H30" i="2"/>
  <c r="H38" i="2" s="1"/>
  <c r="H34" i="2"/>
  <c r="G39" i="2"/>
  <c r="G44" i="2"/>
  <c r="G42" i="2"/>
  <c r="G43" i="2"/>
  <c r="G41" i="2"/>
  <c r="G38" i="2"/>
  <c r="G40" i="2"/>
  <c r="J31" i="2"/>
  <c r="J34" i="2"/>
  <c r="J30" i="2"/>
  <c r="J38" i="2" s="1"/>
  <c r="K35" i="2"/>
  <c r="K42" i="2" s="1"/>
  <c r="J35" i="2"/>
  <c r="K31" i="2"/>
  <c r="C33" i="2"/>
  <c r="C30" i="2"/>
  <c r="C38" i="2" s="1"/>
  <c r="C36" i="2"/>
  <c r="C32" i="2"/>
  <c r="H36" i="2"/>
  <c r="H33" i="2"/>
  <c r="H32" i="2"/>
  <c r="H35" i="2"/>
  <c r="K36" i="2"/>
  <c r="K33" i="2"/>
  <c r="E35" i="2"/>
  <c r="E42" i="2" s="1"/>
  <c r="K32" i="2"/>
  <c r="C31" i="2"/>
  <c r="E31" i="2"/>
  <c r="C35" i="2"/>
  <c r="H31" i="2"/>
  <c r="E36" i="2"/>
  <c r="E33" i="2"/>
  <c r="E30" i="2"/>
  <c r="E38" i="2" s="1"/>
  <c r="E32" i="2"/>
  <c r="J36" i="2"/>
  <c r="J33" i="2"/>
  <c r="J32" i="2"/>
  <c r="C34" i="2"/>
  <c r="J39" i="2" l="1"/>
  <c r="C44" i="2"/>
  <c r="E41" i="2"/>
  <c r="F43" i="2"/>
  <c r="K43" i="2"/>
  <c r="J42" i="2"/>
  <c r="J41" i="2"/>
  <c r="J43" i="2"/>
  <c r="C40" i="2"/>
  <c r="F39" i="2"/>
  <c r="H44" i="2"/>
  <c r="H43" i="2"/>
  <c r="K39" i="2"/>
  <c r="F40" i="2"/>
  <c r="E44" i="2"/>
  <c r="C41" i="2"/>
  <c r="H42" i="2"/>
  <c r="J44" i="2"/>
  <c r="C42" i="2"/>
  <c r="H39" i="2"/>
  <c r="H41" i="2"/>
  <c r="J40" i="2"/>
  <c r="K41" i="2"/>
  <c r="C39" i="2"/>
  <c r="F44" i="2"/>
  <c r="E40" i="2"/>
  <c r="C43" i="2"/>
  <c r="E39" i="2"/>
  <c r="H40" i="2"/>
  <c r="E43" i="2"/>
  <c r="F41" i="2"/>
  <c r="F42" i="2"/>
  <c r="K44" i="2"/>
  <c r="K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tc={5687F1F4-D33F-DF47-B402-DFD1D21A25E3}</author>
    <author>tc={CB1713EA-AADA-2747-9D5F-B46799B5C5EE}</author>
    <author>tc={1C2646FB-7989-1C40-A456-35D81EFB4975}</author>
  </authors>
  <commentList>
    <comment ref="B4" authorId="0" shapeId="0" xr:uid="{00000000-0006-0000-0100-000001000000}">
      <text>
        <t>[Kommentartråd]
Din versjon av Excel lar deg lese denne kommentartråden. Eventuelle endringer i den vil imidlertid bli fjernet hvis filen åpnes i en nyere versjon av Excel. Finn ut mer: https://go.microsoft.com/fwlink/?linkid=870924
Kommentar:
    Her kan renten justeres til fakstisk rentetilbud</t>
      </text>
    </comment>
    <comment ref="B16" authorId="1" shapeId="0" xr:uid="{00000000-0006-0000-0100-000003000000}">
      <text>
        <t>[Kommentartråd]
Din versjon av Excel lar deg lese denne kommentartråden. Eventuelle endringer i den vil imidlertid bli fjernet hvis filen åpnes i en nyere versjon av Excel. Finn ut mer: https://go.microsoft.com/fwlink/?linkid=870924
Kommentar:
    Her lægger du prisjusteringer eller ekstraudstyr fra fabrik
 ind</t>
      </text>
    </comment>
    <comment ref="B17" authorId="2" shapeId="0" xr:uid="{00000000-0006-0000-0100-000004000000}">
      <text>
        <t>[Kommentartråd]
Din versjon av Excel lar deg lese denne kommentartråden. Eventuelle endringer i den vil imidlertid bli fjernet hvis filen åpnes i en nyere versjon av Excel. Finn ut mer: https://go.microsoft.com/fwlink/?linkid=870924
Kommentar:
    Her lægger du prisen for lokalmonteret udstyr ind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<sst xmlns="http://schemas.openxmlformats.org/spreadsheetml/2006/main" count="99" uniqueCount="82">
  <si>
    <t>Mærke</t>
  </si>
  <si>
    <t>Model</t>
  </si>
  <si>
    <t>Pris bil inkl moms</t>
  </si>
  <si>
    <t>kWh</t>
  </si>
  <si>
    <t>WLTP</t>
  </si>
  <si>
    <t>Total vægt</t>
  </si>
  <si>
    <t>Ladekapacitet Type 2</t>
  </si>
  <si>
    <t>Ladekapacitet CCS</t>
  </si>
  <si>
    <t>Mercedes</t>
  </si>
  <si>
    <t>Maxus</t>
  </si>
  <si>
    <t>E-DELIVER 9 L2H2</t>
  </si>
  <si>
    <t>kW pris</t>
  </si>
  <si>
    <t>Listepris u/moms</t>
  </si>
  <si>
    <t>Listepris m/moms</t>
  </si>
  <si>
    <t>Lånerente i %</t>
  </si>
  <si>
    <t>Kørelængde pr ladning WLTP</t>
  </si>
  <si>
    <t>Årlig/Mnd kørelængde</t>
  </si>
  <si>
    <t>Alle beregninger er estimater</t>
  </si>
  <si>
    <t>Kontakt altid en forhandler for eksakt tilbud</t>
  </si>
  <si>
    <t>Egenberegning af specifikt tilbud</t>
  </si>
  <si>
    <t>kWh batteri</t>
  </si>
  <si>
    <t>Fabriksmonteret udstyr u/moms</t>
  </si>
  <si>
    <t>Lokalmonteret udstyr u/moms</t>
  </si>
  <si>
    <t>Udgift til strøm pr md</t>
  </si>
  <si>
    <t>Ejerafgift</t>
  </si>
  <si>
    <t>Total vægt</t>
  </si>
  <si>
    <t>Alle priser er listepriser fra importør</t>
  </si>
  <si>
    <t xml:space="preserve"> Udfyld selv </t>
  </si>
  <si>
    <t>Udfyld selv</t>
  </si>
  <si>
    <t>Investeringsbeløb</t>
  </si>
  <si>
    <t>Service og reparation pr md. v/12 mdr.</t>
  </si>
  <si>
    <t>Service og reparation pr md. v/24 mdr.</t>
  </si>
  <si>
    <t>Service og reparation pr md. v/36 mdr.</t>
  </si>
  <si>
    <t>Service og reparation pr md. v/48 mdr.</t>
  </si>
  <si>
    <t>Service og reparation pr md. v/60 mdr.</t>
  </si>
  <si>
    <t>Service og reparation pr md. v/72 mdr.</t>
  </si>
  <si>
    <t>Service og reparation pr md. v/84 mdr.</t>
  </si>
  <si>
    <t>Afskrivning pr md. v/12 mdr.</t>
  </si>
  <si>
    <t>Afskrivning pr md. v/24 mdr.</t>
  </si>
  <si>
    <t>Afskrivning pr md. v/36 mdr.</t>
  </si>
  <si>
    <t>Afskrivning pr md. v/48 mdr.</t>
  </si>
  <si>
    <t>Afskrivning pr md. v/60 mdr.</t>
  </si>
  <si>
    <t>Afskrivning pr md. v/72 mdr.</t>
  </si>
  <si>
    <t>Afskrivning pr md. v/84 mdr.</t>
  </si>
  <si>
    <t>Faste omkostninger pr md. v/12 mdr.</t>
  </si>
  <si>
    <t>Faste omkostninger pr md. v/24 mdr.</t>
  </si>
  <si>
    <t>Faste omkostninger pr md. v/36 mdr.</t>
  </si>
  <si>
    <t>Faste omkostninger pr md. v/48 mdr.</t>
  </si>
  <si>
    <t>Faste omkostninger pr md. v/60 mdr.</t>
  </si>
  <si>
    <t>Faste omkostninger pr md. v/72 mdr.</t>
  </si>
  <si>
    <t>Faste omkostninger pr md. v/84 mdr.</t>
  </si>
  <si>
    <t>Alle beregninger er ved 20.000 km pr år</t>
  </si>
  <si>
    <t>Service og reparation omkostninger pr km matrice</t>
  </si>
  <si>
    <t>Hvis du vil lave en beregning på en af de allerede oplyste varevogne, kan du ændre, lægge til eller trække fra på købsprisen ved at justere på beløbet for fabriksmonteret udstyr og/eller lokalmonteret udstyr. Her kan en eventuel rabat også trækkes fra.</t>
  </si>
  <si>
    <t>Spørgsmål til beregningerne kan du rette til Post@aiconsulting.no</t>
  </si>
  <si>
    <t>Service- og vedligeholdelsesmatricen er baseret på et gennemsnit af de meste brugte varebiler i Skandinavien. I kolonne J er der indsat et gennemsnit af værdierne fra matricen for de mest benyttede varebiler. Har du adgang til egne værdier for service og vedligehold, kan du overskrive cellerne J22 til J28 for at få en mere præcis beregning.</t>
  </si>
  <si>
    <t>Pris u/moms lokalmonteret udstyr</t>
  </si>
  <si>
    <t>Pris u/moms fabriksmontert udstyr</t>
  </si>
  <si>
    <t>Pris ex moms</t>
  </si>
  <si>
    <t>Strøm omkostninger pr md. v/20 km pr år</t>
  </si>
  <si>
    <t>RV 20% 72 mdr</t>
  </si>
  <si>
    <t>RV 5% 84 mdr</t>
  </si>
  <si>
    <t>RV 34% 60 mdr</t>
  </si>
  <si>
    <t>RV 50% 48 mdr</t>
  </si>
  <si>
    <t>RV 59% 36 mdr</t>
  </si>
  <si>
    <t>RV 65% 24mdr</t>
  </si>
  <si>
    <t>RV 75% 12 mdr</t>
  </si>
  <si>
    <t>Alle beregninger er udført af Ai Consulting A/S. Afskrivningsmetoden på de mest solgte varevogne er baseret på skandinaviske principper om restværdi, der også benyttes af de største restværdi-garantister herhjemme. 
Der er tale om en gennemsnitsværdi, som kan differentiere med +/- 4 procent afhængig af, hvad bilen har været udsat for. Fabriksmonteret udstyr har samme restværdi som bilen. Lokalmonteret udstyr har en restværdi på 20% de første år, og restværdien falder derefter ned til 5% i de sidste år.</t>
  </si>
  <si>
    <t>E-deliver 9 L3H2</t>
  </si>
  <si>
    <t>E-deliver 9 Chassis L3N1</t>
  </si>
  <si>
    <t xml:space="preserve">Ford </t>
  </si>
  <si>
    <t>E-Transit 350 L2H2</t>
  </si>
  <si>
    <t>Transit</t>
  </si>
  <si>
    <t>e-Sprinter</t>
  </si>
  <si>
    <t>EV80 TWB H3</t>
  </si>
  <si>
    <t>e-sprinter</t>
  </si>
  <si>
    <t>Iveco</t>
  </si>
  <si>
    <t>e-Daily 42S14E chassis</t>
  </si>
  <si>
    <t>e-daily 35S14E L3H2</t>
  </si>
  <si>
    <t>Beregninger utført af Gadsbøll Consulting AS Klik her for at sende e-mail</t>
  </si>
  <si>
    <t>Fiat</t>
  </si>
  <si>
    <t>eDucato 122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</si>
</sst>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9" x14ac:knownFonts="1">
    <font>
      <sz val="12"/>
      <color theme="1"/>
      <name val="Calibri"/>
      <family val="2"/>
      <scheme val="minor"/>
    </font>
    <font>
      <sz val="12"/>
      <color theme="1"/>
      <name val="Calibri"/>
      <family val="2"/>
      <scheme val="minor"/>
    </font>
    <font>
      <sz val="12"/>
      <color theme="0"/>
      <name val="Calibri"/>
      <family val="2"/>
      <scheme val="minor"/>
    </font>
    <font>
      <sz val="8"/>
      <name val="Calibri"/>
      <family val="2"/>
      <scheme val="minor"/>
    </font>
    <font>
      <b/>
      <sz val="12"/>
      <color theme="0"/>
      <name val="Calibri"/>
      <family val="2"/>
      <scheme val="minor"/>
    </font>
    <font>
      <sz val="12"/>
      <color rgb="FFFF0000"/>
      <name val="Calibri"/>
      <family val="2"/>
      <scheme val="minor"/>
    </font>
    <font>
      <b/>
      <sz val="12"/>
      <color rgb="FFFF0000"/>
      <name val="Calibri"/>
      <family val="2"/>
      <scheme val="minor"/>
    </font>
    <font>
      <b/>
      <sz val="12"/>
      <color theme="1"/>
      <name val="Calibri"/>
      <family val="2"/>
      <scheme val="minor"/>
    </font>
    <font>
      <u/>
      <sz val="12"/>
      <color theme="1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9">
    <xf numFmtId="0" fontId="0" fillId="0" borderId="0" xfId="0"/>
    <xf numFmtId="164" fontId="0" fillId="0" borderId="0" xfId="1" applyFont="1"/>
    <xf numFmtId="165" fontId="0" fillId="0" borderId="0" xfId="1" applyNumberFormat="1" applyFont="1" applyAlignment="1"/>
    <xf numFmtId="165" fontId="0" fillId="0" borderId="0" xfId="1" applyNumberFormat="1" applyFont="1" applyAlignment="1">
      <alignment horizontal="right"/>
    </xf>
    <xf numFmtId="165" fontId="0" fillId="0" borderId="0" xfId="0" applyNumberFormat="1"/>
    <xf numFmtId="0" fontId="0" fillId="0" borderId="9" xfId="0" applyBorder="1"/>
    <xf numFmtId="0" fontId="0" fillId="0" borderId="10" xfId="0" applyBorder="1"/>
    <xf numFmtId="165" fontId="0" fillId="0" borderId="1" xfId="1" applyNumberFormat="1" applyFont="1" applyBorder="1"/>
    <xf numFmtId="165" fontId="0" fillId="0" borderId="1" xfId="0" applyNumberFormat="1" applyBorder="1"/>
    <xf numFmtId="165" fontId="0" fillId="0" borderId="4" xfId="0" applyNumberFormat="1" applyBorder="1"/>
    <xf numFmtId="165" fontId="0" fillId="0" borderId="6" xfId="1" applyNumberFormat="1" applyFont="1" applyBorder="1"/>
    <xf numFmtId="165" fontId="0" fillId="0" borderId="4" xfId="1" applyNumberFormat="1" applyFont="1" applyBorder="1"/>
    <xf numFmtId="0" fontId="0" fillId="0" borderId="14" xfId="0" applyBorder="1"/>
    <xf numFmtId="165" fontId="0" fillId="0" borderId="3" xfId="0" applyNumberFormat="1" applyBorder="1"/>
    <xf numFmtId="165" fontId="0" fillId="0" borderId="6" xfId="0" applyNumberFormat="1" applyBorder="1"/>
    <xf numFmtId="165" fontId="0" fillId="0" borderId="7" xfId="1" applyNumberFormat="1" applyFont="1" applyBorder="1" applyAlignment="1"/>
    <xf numFmtId="165" fontId="0" fillId="0" borderId="4" xfId="1" applyNumberFormat="1" applyFont="1" applyBorder="1" applyAlignment="1"/>
    <xf numFmtId="165" fontId="0" fillId="0" borderId="8" xfId="1" applyNumberFormat="1" applyFont="1" applyBorder="1" applyAlignment="1"/>
    <xf numFmtId="165" fontId="0" fillId="0" borderId="6" xfId="1" applyNumberFormat="1" applyFont="1" applyBorder="1" applyAlignment="1"/>
    <xf numFmtId="165" fontId="0" fillId="2" borderId="3" xfId="1" applyNumberFormat="1" applyFont="1" applyFill="1" applyBorder="1"/>
    <xf numFmtId="165" fontId="0" fillId="2" borderId="5" xfId="1" applyNumberFormat="1" applyFont="1" applyFill="1" applyBorder="1"/>
    <xf numFmtId="10" fontId="0" fillId="2" borderId="20" xfId="2" applyNumberFormat="1" applyFont="1" applyFill="1" applyBorder="1"/>
    <xf numFmtId="0" fontId="0" fillId="0" borderId="15" xfId="0" applyBorder="1"/>
    <xf numFmtId="0" fontId="0" fillId="0" borderId="16" xfId="0" applyBorder="1"/>
    <xf numFmtId="0" fontId="0" fillId="0" borderId="17" xfId="0" applyBorder="1"/>
    <xf numFmtId="165" fontId="0" fillId="0" borderId="1" xfId="1" applyNumberFormat="1" applyFont="1" applyFill="1" applyBorder="1"/>
    <xf numFmtId="165" fontId="0" fillId="0" borderId="6" xfId="1" applyNumberFormat="1" applyFont="1" applyFill="1" applyBorder="1"/>
    <xf numFmtId="165" fontId="0" fillId="0" borderId="5" xfId="1" applyNumberFormat="1" applyFont="1" applyBorder="1"/>
    <xf numFmtId="0" fontId="0" fillId="3" borderId="0" xfId="0" applyFill="1"/>
    <xf numFmtId="0" fontId="2" fillId="3" borderId="0" xfId="0" applyFont="1" applyFill="1"/>
    <xf numFmtId="0" fontId="0" fillId="3" borderId="0" xfId="0" applyFill="1" applyAlignment="1">
      <alignment horizontal="center"/>
    </xf>
    <xf numFmtId="165" fontId="0" fillId="3" borderId="0" xfId="1" applyNumberFormat="1" applyFont="1" applyFill="1"/>
    <xf numFmtId="165" fontId="0" fillId="3" borderId="0" xfId="0" applyNumberFormat="1" applyFill="1"/>
    <xf numFmtId="0" fontId="0" fillId="0" borderId="4" xfId="0" applyBorder="1" applyAlignment="1">
      <alignment horizontal="center"/>
    </xf>
    <xf numFmtId="0" fontId="0" fillId="0" borderId="1" xfId="0" applyBorder="1" applyAlignment="1">
      <alignment horizontal="center"/>
    </xf>
    <xf numFmtId="0" fontId="0" fillId="0" borderId="21" xfId="0" applyBorder="1"/>
    <xf numFmtId="0" fontId="0" fillId="0" borderId="6" xfId="0" applyBorder="1" applyAlignment="1">
      <alignment horizontal="center"/>
    </xf>
    <xf numFmtId="165" fontId="0" fillId="0" borderId="19" xfId="1" applyNumberFormat="1" applyFont="1" applyBorder="1" applyProtection="1">
      <protection locked="0" hidden="1"/>
    </xf>
    <xf numFmtId="0" fontId="0" fillId="4" borderId="18" xfId="0" applyFill="1" applyBorder="1"/>
    <xf numFmtId="0" fontId="0" fillId="4" borderId="0" xfId="0" applyFill="1"/>
    <xf numFmtId="0" fontId="4" fillId="5" borderId="0" xfId="0" applyFont="1" applyFill="1"/>
    <xf numFmtId="165" fontId="5" fillId="3" borderId="0" xfId="1" applyNumberFormat="1" applyFont="1" applyFill="1" applyBorder="1" applyAlignment="1"/>
    <xf numFmtId="0" fontId="5" fillId="4" borderId="0" xfId="0" applyFont="1" applyFill="1"/>
    <xf numFmtId="165" fontId="5" fillId="3" borderId="0" xfId="1" applyNumberFormat="1" applyFont="1" applyFill="1" applyBorder="1"/>
    <xf numFmtId="0" fontId="5" fillId="3" borderId="0" xfId="0" applyFont="1" applyFill="1"/>
    <xf numFmtId="165" fontId="5" fillId="3" borderId="0" xfId="0" applyNumberFormat="1" applyFont="1" applyFill="1"/>
    <xf numFmtId="165" fontId="5" fillId="6" borderId="0" xfId="1" applyNumberFormat="1" applyFont="1" applyFill="1" applyBorder="1" applyAlignment="1"/>
    <xf numFmtId="165" fontId="5" fillId="6" borderId="11" xfId="1" applyNumberFormat="1" applyFont="1" applyFill="1" applyBorder="1" applyAlignment="1"/>
    <xf numFmtId="165" fontId="5" fillId="6" borderId="10" xfId="1" applyNumberFormat="1" applyFont="1" applyFill="1" applyBorder="1" applyAlignment="1"/>
    <xf numFmtId="165" fontId="0" fillId="6" borderId="11" xfId="1" applyNumberFormat="1" applyFont="1" applyFill="1" applyBorder="1"/>
    <xf numFmtId="165" fontId="1" fillId="6" borderId="14" xfId="1" applyNumberFormat="1" applyFont="1" applyFill="1" applyBorder="1" applyAlignment="1">
      <alignment vertical="center"/>
    </xf>
    <xf numFmtId="165" fontId="1" fillId="6" borderId="10" xfId="1" applyNumberFormat="1" applyFont="1" applyFill="1" applyBorder="1" applyAlignment="1">
      <alignment vertical="center"/>
    </xf>
    <xf numFmtId="0" fontId="5" fillId="6" borderId="14" xfId="0" applyFont="1" applyFill="1" applyBorder="1" applyAlignment="1">
      <alignment horizontal="center"/>
    </xf>
    <xf numFmtId="0" fontId="5" fillId="6" borderId="14" xfId="0" applyFont="1" applyFill="1" applyBorder="1" applyAlignment="1">
      <alignment horizontal="right"/>
    </xf>
    <xf numFmtId="0" fontId="5" fillId="6" borderId="10" xfId="0" applyFont="1" applyFill="1" applyBorder="1" applyAlignment="1">
      <alignment horizontal="right"/>
    </xf>
    <xf numFmtId="0" fontId="5" fillId="6" borderId="9" xfId="0" applyFont="1" applyFill="1" applyBorder="1" applyAlignment="1">
      <alignment horizontal="center"/>
    </xf>
    <xf numFmtId="0" fontId="6" fillId="6" borderId="11" xfId="0" applyFont="1" applyFill="1" applyBorder="1" applyAlignment="1">
      <alignment horizontal="center" vertical="center"/>
    </xf>
    <xf numFmtId="0" fontId="0" fillId="0" borderId="2" xfId="0" applyBorder="1"/>
    <xf numFmtId="165" fontId="0" fillId="0" borderId="25" xfId="1" applyNumberFormat="1" applyFont="1" applyBorder="1"/>
    <xf numFmtId="165" fontId="0" fillId="0" borderId="24" xfId="1" applyNumberFormat="1" applyFont="1" applyFill="1" applyBorder="1"/>
    <xf numFmtId="165" fontId="0" fillId="2" borderId="4" xfId="1" applyNumberFormat="1" applyFont="1" applyFill="1" applyBorder="1"/>
    <xf numFmtId="165" fontId="0" fillId="2" borderId="6" xfId="1" applyNumberFormat="1" applyFont="1" applyFill="1" applyBorder="1"/>
    <xf numFmtId="0" fontId="0" fillId="0" borderId="3"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7" fillId="3" borderId="14" xfId="0" applyFont="1" applyFill="1" applyBorder="1" applyAlignment="1">
      <alignment vertical="center"/>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4" borderId="0" xfId="0" applyFont="1" applyFill="1"/>
    <xf numFmtId="0" fontId="0" fillId="4" borderId="27" xfId="0" applyFill="1" applyBorder="1"/>
    <xf numFmtId="0" fontId="0" fillId="4" borderId="30" xfId="0" applyFill="1" applyBorder="1"/>
    <xf numFmtId="0" fontId="0" fillId="4" borderId="30" xfId="0" applyFill="1" applyBorder="1" applyAlignment="1">
      <alignment horizontal="center" wrapText="1"/>
    </xf>
    <xf numFmtId="0" fontId="0" fillId="4" borderId="31" xfId="0" applyFill="1" applyBorder="1"/>
    <xf numFmtId="0" fontId="0" fillId="4" borderId="30" xfId="0" applyFill="1" applyBorder="1" applyAlignment="1">
      <alignment wrapText="1"/>
    </xf>
    <xf numFmtId="0" fontId="0" fillId="4" borderId="0" xfId="0" applyFill="1" applyAlignment="1">
      <alignment wrapText="1"/>
    </xf>
    <xf numFmtId="0" fontId="0" fillId="4" borderId="31" xfId="0" applyFill="1" applyBorder="1" applyAlignment="1">
      <alignment wrapText="1"/>
    </xf>
    <xf numFmtId="0" fontId="0" fillId="3" borderId="0" xfId="0" applyFill="1" applyAlignment="1">
      <alignment horizontal="center" wrapText="1"/>
    </xf>
    <xf numFmtId="0" fontId="0" fillId="0" borderId="7" xfId="0" applyBorder="1" applyAlignment="1">
      <alignment horizontal="center"/>
    </xf>
    <xf numFmtId="0" fontId="7" fillId="3" borderId="12" xfId="0" applyFont="1" applyFill="1" applyBorder="1" applyAlignment="1">
      <alignment horizontal="center" vertical="center" wrapText="1"/>
    </xf>
    <xf numFmtId="0" fontId="0" fillId="0" borderId="12" xfId="0" applyBorder="1" applyAlignment="1">
      <alignment horizontal="center"/>
    </xf>
    <xf numFmtId="0" fontId="0" fillId="0" borderId="8" xfId="0" applyBorder="1" applyAlignment="1">
      <alignment horizontal="center"/>
    </xf>
    <xf numFmtId="165" fontId="0" fillId="2" borderId="7" xfId="1" applyNumberFormat="1" applyFont="1" applyFill="1" applyBorder="1"/>
    <xf numFmtId="165" fontId="0" fillId="2" borderId="8" xfId="1" applyNumberFormat="1" applyFont="1" applyFill="1" applyBorder="1"/>
    <xf numFmtId="165" fontId="0" fillId="0" borderId="7" xfId="0" applyNumberFormat="1" applyBorder="1"/>
    <xf numFmtId="165" fontId="0" fillId="0" borderId="8" xfId="1" applyNumberFormat="1" applyFont="1" applyBorder="1"/>
    <xf numFmtId="165" fontId="0" fillId="0" borderId="15" xfId="0" applyNumberFormat="1" applyBorder="1"/>
    <xf numFmtId="165" fontId="0" fillId="0" borderId="16" xfId="0" applyNumberFormat="1" applyBorder="1"/>
    <xf numFmtId="165" fontId="0" fillId="0" borderId="17" xfId="0" applyNumberFormat="1" applyBorder="1"/>
    <xf numFmtId="165" fontId="0" fillId="0" borderId="16" xfId="1" applyNumberFormat="1" applyFont="1" applyFill="1" applyBorder="1"/>
    <xf numFmtId="165" fontId="0" fillId="0" borderId="17" xfId="1" applyNumberFormat="1" applyFont="1" applyFill="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35" xfId="1" applyNumberFormat="1" applyFont="1" applyBorder="1"/>
    <xf numFmtId="165" fontId="0" fillId="0" borderId="36" xfId="1" applyNumberFormat="1" applyFont="1" applyFill="1" applyBorder="1"/>
    <xf numFmtId="165" fontId="1" fillId="6" borderId="38" xfId="1" applyNumberFormat="1" applyFont="1" applyFill="1" applyBorder="1" applyAlignment="1">
      <alignment vertical="center"/>
    </xf>
    <xf numFmtId="165" fontId="5" fillId="6" borderId="39" xfId="1" applyNumberFormat="1" applyFont="1" applyFill="1" applyBorder="1" applyAlignment="1"/>
    <xf numFmtId="165" fontId="0" fillId="7" borderId="9" xfId="1" applyNumberFormat="1" applyFont="1" applyFill="1" applyBorder="1"/>
    <xf numFmtId="165" fontId="0" fillId="7" borderId="14" xfId="1" applyNumberFormat="1" applyFont="1" applyFill="1" applyBorder="1"/>
    <xf numFmtId="165" fontId="0" fillId="7" borderId="10" xfId="1" applyNumberFormat="1" applyFont="1" applyFill="1" applyBorder="1"/>
    <xf numFmtId="165" fontId="0" fillId="0" borderId="40" xfId="1" applyNumberFormat="1" applyFont="1" applyBorder="1"/>
    <xf numFmtId="165" fontId="0" fillId="0" borderId="22" xfId="1" applyNumberFormat="1" applyFont="1" applyBorder="1"/>
    <xf numFmtId="165" fontId="0" fillId="0" borderId="23" xfId="1" applyNumberFormat="1" applyFont="1" applyBorder="1"/>
    <xf numFmtId="164" fontId="0" fillId="3" borderId="0" xfId="1" applyFont="1" applyFill="1" applyBorder="1"/>
    <xf numFmtId="165" fontId="0" fillId="0" borderId="9" xfId="1" applyNumberFormat="1" applyFont="1" applyFill="1" applyBorder="1"/>
    <xf numFmtId="165" fontId="0" fillId="0" borderId="14" xfId="1" applyNumberFormat="1" applyFont="1" applyFill="1" applyBorder="1"/>
    <xf numFmtId="165" fontId="0" fillId="0" borderId="10" xfId="1" applyNumberFormat="1" applyFont="1" applyFill="1" applyBorder="1"/>
    <xf numFmtId="0" fontId="0" fillId="8" borderId="0" xfId="0" applyFill="1" applyAlignment="1">
      <alignment horizontal="center"/>
    </xf>
    <xf numFmtId="0" fontId="0" fillId="4" borderId="4" xfId="0" applyFill="1" applyBorder="1" applyAlignment="1">
      <alignment horizontal="center"/>
    </xf>
    <xf numFmtId="0" fontId="0" fillId="4" borderId="0" xfId="0" applyFill="1" applyAlignment="1">
      <alignment horizontal="center" wrapText="1"/>
    </xf>
    <xf numFmtId="0" fontId="0" fillId="0" borderId="41" xfId="0" applyBorder="1" applyAlignment="1">
      <alignment horizontal="center"/>
    </xf>
    <xf numFmtId="0" fontId="7" fillId="3" borderId="42"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165" fontId="0" fillId="0" borderId="28" xfId="1" applyNumberFormat="1" applyFont="1" applyBorder="1" applyAlignment="1"/>
    <xf numFmtId="165" fontId="0" fillId="0" borderId="43" xfId="1" applyNumberFormat="1" applyFont="1" applyBorder="1" applyAlignment="1"/>
    <xf numFmtId="165" fontId="0" fillId="2" borderId="28" xfId="1" applyNumberFormat="1" applyFont="1" applyFill="1" applyBorder="1"/>
    <xf numFmtId="165" fontId="0" fillId="2" borderId="43" xfId="1" applyNumberFormat="1" applyFont="1" applyFill="1" applyBorder="1"/>
    <xf numFmtId="165" fontId="0" fillId="0" borderId="33" xfId="1" applyNumberFormat="1" applyFont="1" applyBorder="1"/>
    <xf numFmtId="0" fontId="0" fillId="4" borderId="1" xfId="0" applyFill="1" applyBorder="1" applyAlignment="1">
      <alignment horizontal="center"/>
    </xf>
    <xf numFmtId="0" fontId="0" fillId="4" borderId="6" xfId="0" applyFill="1" applyBorder="1" applyAlignment="1">
      <alignment horizontal="center"/>
    </xf>
    <xf numFmtId="165" fontId="0" fillId="4" borderId="4" xfId="1" applyNumberFormat="1" applyFont="1" applyFill="1" applyBorder="1" applyAlignment="1"/>
    <xf numFmtId="165" fontId="0" fillId="4" borderId="7" xfId="1" applyNumberFormat="1" applyFont="1" applyFill="1" applyBorder="1" applyAlignment="1"/>
    <xf numFmtId="165" fontId="0" fillId="4" borderId="6" xfId="1" applyNumberFormat="1" applyFont="1" applyFill="1" applyBorder="1" applyAlignment="1"/>
    <xf numFmtId="165" fontId="0" fillId="4" borderId="8" xfId="1" applyNumberFormat="1" applyFont="1" applyFill="1" applyBorder="1" applyAlignment="1"/>
    <xf numFmtId="165" fontId="0" fillId="4" borderId="25" xfId="1" applyNumberFormat="1" applyFont="1" applyFill="1" applyBorder="1"/>
    <xf numFmtId="165" fontId="0" fillId="4" borderId="4" xfId="0" applyNumberFormat="1" applyFill="1" applyBorder="1"/>
    <xf numFmtId="165" fontId="0" fillId="4" borderId="6" xfId="1" applyNumberFormat="1" applyFont="1" applyFill="1" applyBorder="1"/>
    <xf numFmtId="165" fontId="0" fillId="4" borderId="24" xfId="1" applyNumberFormat="1" applyFont="1" applyFill="1" applyBorder="1"/>
    <xf numFmtId="165" fontId="0" fillId="4" borderId="26" xfId="1" applyNumberFormat="1" applyFont="1" applyFill="1" applyBorder="1"/>
    <xf numFmtId="165" fontId="0" fillId="4" borderId="37" xfId="1" applyNumberFormat="1" applyFont="1" applyFill="1" applyBorder="1"/>
    <xf numFmtId="165" fontId="0" fillId="4" borderId="1" xfId="1" applyNumberFormat="1" applyFont="1" applyFill="1" applyBorder="1"/>
    <xf numFmtId="165" fontId="0" fillId="4" borderId="22" xfId="1" applyNumberFormat="1" applyFont="1" applyFill="1" applyBorder="1"/>
    <xf numFmtId="165" fontId="0" fillId="4" borderId="12" xfId="1" applyNumberFormat="1" applyFont="1" applyFill="1" applyBorder="1"/>
    <xf numFmtId="165" fontId="0" fillId="4" borderId="23" xfId="1" applyNumberFormat="1" applyFont="1" applyFill="1" applyBorder="1"/>
    <xf numFmtId="165" fontId="0" fillId="4" borderId="8" xfId="1" applyNumberFormat="1" applyFont="1" applyFill="1" applyBorder="1"/>
    <xf numFmtId="165" fontId="0" fillId="4" borderId="4" xfId="1" applyNumberFormat="1" applyFont="1" applyFill="1" applyBorder="1"/>
    <xf numFmtId="0" fontId="7" fillId="9" borderId="1" xfId="0" applyFont="1" applyFill="1" applyBorder="1" applyAlignment="1">
      <alignment horizontal="center" vertical="center" wrapText="1"/>
    </xf>
    <xf numFmtId="0" fontId="8" fillId="10" borderId="0" xfId="3" applyFill="1" applyAlignment="1">
      <alignment vertical="center"/>
    </xf>
    <xf numFmtId="0" fontId="4" fillId="5" borderId="0" xfId="0" applyFont="1" applyFill="1" applyAlignment="1">
      <alignment horizontal="center"/>
    </xf>
    <xf numFmtId="0" fontId="2" fillId="3" borderId="0" xfId="0" applyFont="1" applyFill="1" applyAlignment="1">
      <alignment horizontal="center"/>
    </xf>
    <xf numFmtId="0" fontId="0" fillId="4" borderId="30" xfId="0" applyFill="1" applyBorder="1" applyAlignment="1">
      <alignment horizontal="center" wrapText="1"/>
    </xf>
    <xf numFmtId="0" fontId="0" fillId="4" borderId="0" xfId="0" applyFill="1" applyAlignment="1">
      <alignment horizontal="center" wrapText="1"/>
    </xf>
    <xf numFmtId="0" fontId="0" fillId="4" borderId="31" xfId="0" applyFill="1" applyBorder="1" applyAlignment="1">
      <alignment horizontal="center" wrapText="1"/>
    </xf>
    <xf numFmtId="0" fontId="0" fillId="4" borderId="32" xfId="0" applyFill="1" applyBorder="1" applyAlignment="1">
      <alignment horizontal="center" wrapText="1"/>
    </xf>
    <xf numFmtId="0" fontId="0" fillId="4" borderId="33" xfId="0" applyFill="1" applyBorder="1" applyAlignment="1">
      <alignment horizontal="center" wrapText="1"/>
    </xf>
    <xf numFmtId="0" fontId="0" fillId="4" borderId="34" xfId="0" applyFill="1" applyBorder="1" applyAlignment="1">
      <alignment horizontal="center" wrapText="1"/>
    </xf>
    <xf numFmtId="0" fontId="0" fillId="4" borderId="28" xfId="0" applyFill="1" applyBorder="1" applyAlignment="1">
      <alignment horizontal="center" wrapText="1"/>
    </xf>
    <xf numFmtId="0" fontId="0" fillId="4" borderId="29" xfId="0" applyFill="1" applyBorder="1" applyAlignment="1">
      <alignment horizontal="center" wrapText="1"/>
    </xf>
  </cellXfs>
  <cellStyles count="4">
    <cellStyle name="Hyperkobling" xfId="3" builtinId="8"/>
    <cellStyle name="Komma" xfId="1" builtinId="3"/>
    <cellStyle name="Normal" xfId="0" builtinId="0"/>
    <cellStyle name="Prosent" xfId="2" builtinId="5"/>
  </cellStyles>
  <dxfs count="0"/>
  <tableStyles count="0" defaultTableStyle="TableStyleMedium2" defaultPivotStyle="PivotStyleLight16"/>
  <colors>
    <mruColors>
      <color rgb="FFFF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215900</xdr:colOff>
      <xdr:row>6</xdr:row>
      <xdr:rowOff>50800</xdr:rowOff>
    </xdr:from>
    <xdr:to>
      <xdr:col>14</xdr:col>
      <xdr:colOff>660400</xdr:colOff>
      <xdr:row>7</xdr:row>
      <xdr:rowOff>0</xdr:rowOff>
    </xdr:to>
    <xdr:sp macro="" textlink="">
      <xdr:nvSpPr>
        <xdr:cNvPr id="7" name="Pil venstre 6">
          <a:extLst>
            <a:ext uri="{FF2B5EF4-FFF2-40B4-BE49-F238E27FC236}">
              <a16:creationId xmlns:a16="http://schemas.microsoft.com/office/drawing/2014/main" id="{D0ADFF9E-E989-C146-9B7A-F9D377B6EFAF}"/>
            </a:ext>
          </a:extLst>
        </xdr:cNvPr>
        <xdr:cNvSpPr/>
      </xdr:nvSpPr>
      <xdr:spPr>
        <a:xfrm>
          <a:off x="15341600" y="11176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7</xdr:row>
      <xdr:rowOff>76200</xdr:rowOff>
    </xdr:from>
    <xdr:to>
      <xdr:col>14</xdr:col>
      <xdr:colOff>660400</xdr:colOff>
      <xdr:row>7</xdr:row>
      <xdr:rowOff>228600</xdr:rowOff>
    </xdr:to>
    <xdr:sp macro="" textlink="">
      <xdr:nvSpPr>
        <xdr:cNvPr id="13" name="Pil venstre 12">
          <a:extLst>
            <a:ext uri="{FF2B5EF4-FFF2-40B4-BE49-F238E27FC236}">
              <a16:creationId xmlns:a16="http://schemas.microsoft.com/office/drawing/2014/main" id="{87C40B9D-31F7-0B4C-B091-615A33FD2577}"/>
            </a:ext>
          </a:extLst>
        </xdr:cNvPr>
        <xdr:cNvSpPr/>
      </xdr:nvSpPr>
      <xdr:spPr>
        <a:xfrm>
          <a:off x="15341600" y="13462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8</xdr:row>
      <xdr:rowOff>38100</xdr:rowOff>
    </xdr:from>
    <xdr:to>
      <xdr:col>14</xdr:col>
      <xdr:colOff>660400</xdr:colOff>
      <xdr:row>8</xdr:row>
      <xdr:rowOff>190500</xdr:rowOff>
    </xdr:to>
    <xdr:sp macro="" textlink="">
      <xdr:nvSpPr>
        <xdr:cNvPr id="14" name="Pil venstre 13">
          <a:extLst>
            <a:ext uri="{FF2B5EF4-FFF2-40B4-BE49-F238E27FC236}">
              <a16:creationId xmlns:a16="http://schemas.microsoft.com/office/drawing/2014/main" id="{E58FA2C0-906A-2D4A-95C6-013965B9EC12}"/>
            </a:ext>
          </a:extLst>
        </xdr:cNvPr>
        <xdr:cNvSpPr/>
      </xdr:nvSpPr>
      <xdr:spPr>
        <a:xfrm>
          <a:off x="15341600" y="17780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wsDr>
</file>

<file path=xl/persons/person.xml><?xml version="1.0" encoding="utf-8"?>
<personList xmlns="http://schemas.microsoft.com/office/spreadsheetml/2018/threadedcomments" xmlns:x="http://schemas.openxmlformats.org/spreadsheetml/2006/main">
  <person displayName="Anders Gadsbøll (Tellus Caravan og Fritid)" id="{B1445AAC-0D10-8449-B45A-D9C90CC349D4}" userId="S::anders.gadsboll@tellus.no::e34f6628-5539-445c-8e75-a4b4a69c5443"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1-09-06T01:58:24.39" personId="{B1445AAC-0D10-8449-B45A-D9C90CC349D4}" id="{5687F1F4-D33F-DF47-B402-DFD1D21A25E3}">
    <text>Her kan renten justeres til fakstisk rentetilbud</text>
  </threadedComment>
  <threadedComment ref="B16" dT="2021-09-06T01:49:36.13" personId="{B1445AAC-0D10-8449-B45A-D9C90CC349D4}" id="{CB1713EA-AADA-2747-9D5F-B46799B5C5EE}">
    <text>Her lægger du prisjusteringer eller ekstraudstyr fra fabrik
 ind</text>
  </threadedComment>
  <threadedComment ref="B17" dT="2021-09-06T01:50:35.97" personId="{B1445AAC-0D10-8449-B45A-D9C90CC349D4}" id="{1C2646FB-7989-1C40-A456-35D81EFB4975}">
    <text>Her lægger du prisen for lokalmonteret udstyr ind</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ers@gadsboll.no?subject=Mail%20om%20TCO%20tunge%20bile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workbookViewId="0">
      <selection activeCell="G6" sqref="G6"/>
    </sheetView>
  </sheetViews>
  <sheetFormatPr baseColWidth="10" defaultColWidth="11" defaultRowHeight="16" x14ac:dyDescent="0.2"/>
  <cols>
    <col min="1" max="1" width="9.1640625" bestFit="1" customWidth="1"/>
    <col min="2" max="2" width="27.5" bestFit="1" customWidth="1"/>
    <col min="3" max="3" width="15.6640625" bestFit="1" customWidth="1"/>
    <col min="4" max="4" width="13" bestFit="1" customWidth="1"/>
    <col min="5" max="5" width="5.1640625" bestFit="1" customWidth="1"/>
    <col min="6" max="6" width="5.83203125" bestFit="1" customWidth="1"/>
    <col min="7" max="7" width="9.83203125" bestFit="1" customWidth="1"/>
    <col min="8" max="8" width="18.5" bestFit="1" customWidth="1"/>
    <col min="9" max="9" width="16" bestFit="1" customWidth="1"/>
    <col min="10" max="10" width="30" bestFit="1" customWidth="1"/>
    <col min="11" max="11" width="29.5" bestFit="1" customWidth="1"/>
    <col min="12" max="12" width="14.1640625" bestFit="1" customWidth="1"/>
    <col min="13" max="13" width="13.6640625" bestFit="1" customWidth="1"/>
    <col min="14" max="18" width="14.1640625" bestFit="1" customWidth="1"/>
    <col min="19" max="19" width="28.33203125" bestFit="1" customWidth="1"/>
    <col min="20" max="20" width="19.6640625" bestFit="1" customWidth="1"/>
  </cols>
  <sheetData>
    <row r="1" spans="1:19" x14ac:dyDescent="0.2">
      <c r="A1" t="s">
        <v>0</v>
      </c>
      <c r="B1" t="s">
        <v>1</v>
      </c>
      <c r="C1" t="s">
        <v>2</v>
      </c>
      <c r="D1" t="s">
        <v>58</v>
      </c>
      <c r="E1" t="s">
        <v>3</v>
      </c>
      <c r="F1" t="s">
        <v>4</v>
      </c>
      <c r="G1" t="s">
        <v>5</v>
      </c>
      <c r="H1" t="s">
        <v>6</v>
      </c>
      <c r="I1" t="s">
        <v>7</v>
      </c>
      <c r="J1" t="s">
        <v>57</v>
      </c>
      <c r="K1" t="s">
        <v>56</v>
      </c>
      <c r="L1" t="s">
        <v>66</v>
      </c>
      <c r="M1" t="s">
        <v>65</v>
      </c>
      <c r="N1" t="s">
        <v>64</v>
      </c>
      <c r="O1" t="s">
        <v>63</v>
      </c>
      <c r="P1" t="s">
        <v>62</v>
      </c>
      <c r="Q1" t="s">
        <v>60</v>
      </c>
      <c r="R1" t="s">
        <v>61</v>
      </c>
      <c r="S1" t="s">
        <v>59</v>
      </c>
    </row>
    <row r="2" spans="1:19" x14ac:dyDescent="0.2">
      <c r="A2" s="107" t="s">
        <v>8</v>
      </c>
      <c r="B2" s="107" t="s">
        <v>73</v>
      </c>
      <c r="C2" s="3">
        <v>570887</v>
      </c>
      <c r="D2" s="3">
        <f>C2/1.25</f>
        <v>456709.6</v>
      </c>
      <c r="E2">
        <v>41.4</v>
      </c>
      <c r="F2">
        <v>107</v>
      </c>
      <c r="G2">
        <v>3500</v>
      </c>
      <c r="H2">
        <v>7.4</v>
      </c>
      <c r="I2">
        <v>80</v>
      </c>
      <c r="J2" s="2">
        <f>Beregningsark!C16</f>
        <v>0</v>
      </c>
      <c r="K2" s="2">
        <f>Beregningsark!C17</f>
        <v>0</v>
      </c>
      <c r="L2" s="4">
        <f t="shared" ref="L2:L12" si="0">(D2+J2)*75%+K2*20%</f>
        <v>342532.19999999995</v>
      </c>
      <c r="M2" s="4">
        <f>(D2+J2)*65%+K2*20%</f>
        <v>296861.24</v>
      </c>
      <c r="N2" s="4">
        <f t="shared" ref="N2:N12" si="1">(D2+J2)*59%+K2*20%</f>
        <v>269458.66399999999</v>
      </c>
      <c r="O2" s="4">
        <f t="shared" ref="O2:O12" si="2">(D2+J2)*50%+K2*10%</f>
        <v>228354.8</v>
      </c>
      <c r="P2" s="4">
        <f>(D2+J2)*34%+K2*5%</f>
        <v>155281.264</v>
      </c>
      <c r="Q2" s="4">
        <f>(D2+J2)*20%</f>
        <v>91341.92</v>
      </c>
      <c r="R2" s="4">
        <f t="shared" ref="R2:R12" si="3">(D2+J2)*5%</f>
        <v>22835.48</v>
      </c>
      <c r="S2" s="1">
        <f>(Beregningsark!$C$3/(F2/E2))*Beregningsark!$C$2/12</f>
        <v>1283.2710280373833</v>
      </c>
    </row>
    <row r="3" spans="1:19" x14ac:dyDescent="0.2">
      <c r="A3" s="107" t="s">
        <v>76</v>
      </c>
      <c r="B3" s="107" t="s">
        <v>77</v>
      </c>
      <c r="C3" s="3">
        <v>787020</v>
      </c>
      <c r="D3" s="3">
        <f t="shared" ref="D3:D11" si="4">C3/1.25</f>
        <v>629616</v>
      </c>
      <c r="E3">
        <v>74</v>
      </c>
      <c r="F3">
        <v>203</v>
      </c>
      <c r="G3">
        <v>4250</v>
      </c>
      <c r="H3">
        <v>22</v>
      </c>
      <c r="I3">
        <v>80</v>
      </c>
      <c r="J3" s="2">
        <f>Beregningsark!E16</f>
        <v>0</v>
      </c>
      <c r="K3" s="2">
        <f>Beregningsark!E17</f>
        <v>0</v>
      </c>
      <c r="L3" s="4">
        <f t="shared" si="0"/>
        <v>472212</v>
      </c>
      <c r="M3" s="4">
        <f t="shared" ref="M3:M12" si="5">(D3+J3)*65%+K3*20%</f>
        <v>409250.4</v>
      </c>
      <c r="N3" s="4">
        <f t="shared" si="1"/>
        <v>371473.44</v>
      </c>
      <c r="O3" s="4">
        <f t="shared" si="2"/>
        <v>314808</v>
      </c>
      <c r="P3" s="4">
        <f t="shared" ref="P3:P12" si="6">(D3+J3)*34%+K3*5%</f>
        <v>214069.44</v>
      </c>
      <c r="Q3" s="4">
        <f t="shared" ref="Q3:Q12" si="7">(D3+J3)*20%</f>
        <v>125923.20000000001</v>
      </c>
      <c r="R3" s="4">
        <f t="shared" si="3"/>
        <v>31480.800000000003</v>
      </c>
      <c r="S3" s="1">
        <f>(Beregningsark!$C$3/(F3/E3))*Beregningsark!$C$2/12</f>
        <v>1209.031198686371</v>
      </c>
    </row>
    <row r="4" spans="1:19" x14ac:dyDescent="0.2">
      <c r="A4" s="107" t="s">
        <v>9</v>
      </c>
      <c r="B4" s="107" t="s">
        <v>10</v>
      </c>
      <c r="C4" s="3">
        <v>556125</v>
      </c>
      <c r="D4" s="3">
        <f t="shared" si="4"/>
        <v>444900</v>
      </c>
      <c r="E4">
        <v>51.5</v>
      </c>
      <c r="F4">
        <v>186</v>
      </c>
      <c r="G4">
        <v>3500</v>
      </c>
      <c r="H4">
        <v>11</v>
      </c>
      <c r="I4">
        <v>50</v>
      </c>
      <c r="J4" s="2">
        <f>Beregningsark!H16</f>
        <v>0</v>
      </c>
      <c r="K4" s="2">
        <f>Beregningsark!H17</f>
        <v>0</v>
      </c>
      <c r="L4" s="4">
        <f t="shared" si="0"/>
        <v>333675</v>
      </c>
      <c r="M4" s="4">
        <f t="shared" si="5"/>
        <v>289185</v>
      </c>
      <c r="N4" s="4">
        <f t="shared" si="1"/>
        <v>262491</v>
      </c>
      <c r="O4" s="4">
        <f t="shared" si="2"/>
        <v>222450</v>
      </c>
      <c r="P4" s="4">
        <f t="shared" si="6"/>
        <v>151266</v>
      </c>
      <c r="Q4" s="4">
        <f t="shared" si="7"/>
        <v>88980</v>
      </c>
      <c r="R4" s="4">
        <f t="shared" si="3"/>
        <v>22245</v>
      </c>
      <c r="S4" s="1">
        <f>(Beregningsark!$C$3/(F4/E4))*Beregningsark!$C$2/12</f>
        <v>918.32437275985649</v>
      </c>
    </row>
    <row r="5" spans="1:19" x14ac:dyDescent="0.2">
      <c r="A5" s="107" t="s">
        <v>80</v>
      </c>
      <c r="B5" s="107" t="s">
        <v>81</v>
      </c>
      <c r="C5" s="3">
        <v>705108</v>
      </c>
      <c r="D5" s="3">
        <f t="shared" si="4"/>
        <v>564086.4</v>
      </c>
      <c r="E5">
        <v>79</v>
      </c>
      <c r="F5">
        <v>238</v>
      </c>
      <c r="G5">
        <v>4250</v>
      </c>
      <c r="H5">
        <v>11</v>
      </c>
      <c r="I5">
        <v>50</v>
      </c>
      <c r="J5" s="2">
        <f>Beregningsark!F16</f>
        <v>0</v>
      </c>
      <c r="K5" s="2">
        <f>Beregningsark!F17</f>
        <v>0</v>
      </c>
      <c r="L5" s="4">
        <f t="shared" si="0"/>
        <v>423064.80000000005</v>
      </c>
      <c r="M5" s="4">
        <f t="shared" si="5"/>
        <v>366656.16000000003</v>
      </c>
      <c r="N5" s="4">
        <f t="shared" si="1"/>
        <v>332810.97600000002</v>
      </c>
      <c r="O5" s="4">
        <f t="shared" si="2"/>
        <v>282043.2</v>
      </c>
      <c r="P5" s="4">
        <f t="shared" si="6"/>
        <v>191789.37600000002</v>
      </c>
      <c r="Q5" s="4">
        <f t="shared" si="7"/>
        <v>112817.28000000001</v>
      </c>
      <c r="R5" s="4">
        <f t="shared" si="3"/>
        <v>28204.320000000003</v>
      </c>
      <c r="S5" s="1">
        <f>(Beregningsark!$C$3/(F5/E5))*Beregningsark!$C$2/12</f>
        <v>1100.9103641456581</v>
      </c>
    </row>
    <row r="6" spans="1:19" x14ac:dyDescent="0.2">
      <c r="A6" s="107" t="s">
        <v>9</v>
      </c>
      <c r="B6" s="107" t="s">
        <v>68</v>
      </c>
      <c r="C6" s="3">
        <v>646781</v>
      </c>
      <c r="D6" s="3">
        <f t="shared" si="4"/>
        <v>517424.8</v>
      </c>
      <c r="E6">
        <v>72</v>
      </c>
      <c r="F6">
        <v>236</v>
      </c>
      <c r="G6">
        <v>3500</v>
      </c>
      <c r="H6">
        <v>11</v>
      </c>
      <c r="I6">
        <v>80</v>
      </c>
      <c r="J6" s="2">
        <f>Beregningsark!J16</f>
        <v>0</v>
      </c>
      <c r="K6" s="2">
        <f>Beregningsark!J17</f>
        <v>0</v>
      </c>
      <c r="L6" s="4">
        <f t="shared" si="0"/>
        <v>388068.6</v>
      </c>
      <c r="M6" s="4">
        <f t="shared" si="5"/>
        <v>336326.12</v>
      </c>
      <c r="N6" s="4">
        <f t="shared" si="1"/>
        <v>305280.63199999998</v>
      </c>
      <c r="O6" s="4">
        <f t="shared" si="2"/>
        <v>258712.4</v>
      </c>
      <c r="P6" s="4">
        <f t="shared" si="6"/>
        <v>175924.432</v>
      </c>
      <c r="Q6" s="4">
        <f t="shared" si="7"/>
        <v>103484.96</v>
      </c>
      <c r="R6" s="4">
        <f t="shared" si="3"/>
        <v>25871.24</v>
      </c>
      <c r="S6" s="1">
        <f>(Beregningsark!$C$3/(F6/E6))*Beregningsark!$C$2/12</f>
        <v>1011.864406779661</v>
      </c>
    </row>
    <row r="7" spans="1:19" x14ac:dyDescent="0.2">
      <c r="A7" s="107" t="s">
        <v>9</v>
      </c>
      <c r="B7" s="107" t="s">
        <v>69</v>
      </c>
      <c r="C7" s="3">
        <v>574906</v>
      </c>
      <c r="D7" s="3">
        <f t="shared" si="4"/>
        <v>459924.8</v>
      </c>
      <c r="E7">
        <v>65</v>
      </c>
      <c r="F7">
        <v>172</v>
      </c>
      <c r="G7">
        <v>3500</v>
      </c>
      <c r="H7">
        <v>11</v>
      </c>
      <c r="I7">
        <v>80</v>
      </c>
      <c r="J7" s="2">
        <f>Beregningsark!K16</f>
        <v>0</v>
      </c>
      <c r="K7" s="2">
        <f>Beregningsark!K17</f>
        <v>0</v>
      </c>
      <c r="L7" s="4">
        <f t="shared" si="0"/>
        <v>344943.6</v>
      </c>
      <c r="M7" s="4">
        <f t="shared" si="5"/>
        <v>298951.12</v>
      </c>
      <c r="N7" s="4">
        <f t="shared" si="1"/>
        <v>271355.63199999998</v>
      </c>
      <c r="O7" s="4">
        <f t="shared" si="2"/>
        <v>229962.4</v>
      </c>
      <c r="P7" s="4">
        <f t="shared" si="6"/>
        <v>156374.432</v>
      </c>
      <c r="Q7" s="4">
        <f t="shared" si="7"/>
        <v>91984.960000000006</v>
      </c>
      <c r="R7" s="4">
        <f t="shared" si="3"/>
        <v>22996.240000000002</v>
      </c>
      <c r="S7" s="1">
        <f>(Beregningsark!$C$3/(F7/E7))*Beregningsark!$C$2/12</f>
        <v>1253.3914728682171</v>
      </c>
    </row>
    <row r="8" spans="1:19" x14ac:dyDescent="0.2">
      <c r="A8" s="107" t="s">
        <v>8</v>
      </c>
      <c r="B8" s="107" t="s">
        <v>75</v>
      </c>
      <c r="C8" s="3">
        <v>674506</v>
      </c>
      <c r="D8" s="3">
        <f t="shared" si="4"/>
        <v>539604.80000000005</v>
      </c>
      <c r="E8">
        <v>55.2</v>
      </c>
      <c r="F8">
        <v>143</v>
      </c>
      <c r="G8">
        <v>3500</v>
      </c>
      <c r="H8">
        <v>7.4</v>
      </c>
      <c r="I8">
        <v>80</v>
      </c>
      <c r="L8" s="4">
        <f t="shared" si="0"/>
        <v>404703.60000000003</v>
      </c>
      <c r="M8" s="4">
        <f t="shared" si="5"/>
        <v>350743.12000000005</v>
      </c>
      <c r="N8" s="4">
        <f t="shared" si="1"/>
        <v>318366.83199999999</v>
      </c>
      <c r="O8" s="4">
        <f t="shared" si="2"/>
        <v>269802.40000000002</v>
      </c>
      <c r="P8" s="4">
        <f t="shared" si="6"/>
        <v>183465.63200000004</v>
      </c>
      <c r="Q8" s="4">
        <f t="shared" si="7"/>
        <v>107920.96000000002</v>
      </c>
      <c r="R8" s="4">
        <f t="shared" si="3"/>
        <v>26980.240000000005</v>
      </c>
      <c r="S8" s="1">
        <f>(Beregningsark!$C$3/(F8/E8))*Beregningsark!$C$2/12</f>
        <v>1280.2797202797203</v>
      </c>
    </row>
    <row r="9" spans="1:19" x14ac:dyDescent="0.2">
      <c r="A9" s="107" t="s">
        <v>70</v>
      </c>
      <c r="B9" s="107" t="s">
        <v>71</v>
      </c>
      <c r="C9" s="3">
        <v>532391</v>
      </c>
      <c r="D9" s="3">
        <f t="shared" si="4"/>
        <v>425912.8</v>
      </c>
      <c r="E9">
        <v>68</v>
      </c>
      <c r="F9">
        <v>258</v>
      </c>
      <c r="G9">
        <v>3500</v>
      </c>
      <c r="H9">
        <v>11</v>
      </c>
      <c r="I9">
        <v>72</v>
      </c>
      <c r="L9" s="4">
        <f t="shared" si="0"/>
        <v>319434.59999999998</v>
      </c>
      <c r="M9" s="4">
        <f t="shared" si="5"/>
        <v>276843.32</v>
      </c>
      <c r="N9" s="4">
        <f t="shared" si="1"/>
        <v>251288.55199999997</v>
      </c>
      <c r="O9" s="4">
        <f t="shared" si="2"/>
        <v>212956.4</v>
      </c>
      <c r="P9" s="4">
        <f t="shared" si="6"/>
        <v>144810.35200000001</v>
      </c>
      <c r="Q9" s="4">
        <f t="shared" si="7"/>
        <v>85182.56</v>
      </c>
      <c r="R9" s="4">
        <f t="shared" si="3"/>
        <v>21295.64</v>
      </c>
      <c r="S9" s="1">
        <f>(Beregningsark!$C$3/(F9/E9))*Beregningsark!$C$2/12</f>
        <v>874.16020671834622</v>
      </c>
    </row>
    <row r="10" spans="1:19" x14ac:dyDescent="0.2">
      <c r="A10" s="107" t="s">
        <v>9</v>
      </c>
      <c r="B10" s="107" t="s">
        <v>74</v>
      </c>
      <c r="C10" s="3">
        <v>474875</v>
      </c>
      <c r="D10" s="3">
        <f t="shared" si="4"/>
        <v>379900</v>
      </c>
      <c r="E10">
        <v>56</v>
      </c>
      <c r="F10">
        <v>152</v>
      </c>
      <c r="G10">
        <v>3500</v>
      </c>
      <c r="H10">
        <v>6.6</v>
      </c>
      <c r="I10">
        <v>30</v>
      </c>
      <c r="L10" s="4">
        <f t="shared" si="0"/>
        <v>284925</v>
      </c>
      <c r="M10" s="4">
        <f t="shared" si="5"/>
        <v>246935</v>
      </c>
      <c r="N10" s="4">
        <f t="shared" si="1"/>
        <v>224141</v>
      </c>
      <c r="O10" s="4">
        <f t="shared" si="2"/>
        <v>189950</v>
      </c>
      <c r="P10" s="4">
        <f t="shared" si="6"/>
        <v>129166.00000000001</v>
      </c>
      <c r="Q10" s="4">
        <f t="shared" si="7"/>
        <v>75980</v>
      </c>
      <c r="R10" s="4">
        <f t="shared" si="3"/>
        <v>18995</v>
      </c>
      <c r="S10" s="1">
        <f>(Beregningsark!$C$3/(F10/E10))*Beregningsark!$C$2/12</f>
        <v>1221.9298245614034</v>
      </c>
    </row>
    <row r="11" spans="1:19" x14ac:dyDescent="0.2">
      <c r="A11" s="107" t="s">
        <v>76</v>
      </c>
      <c r="B11" s="107" t="s">
        <v>78</v>
      </c>
      <c r="C11" s="3">
        <v>785895</v>
      </c>
      <c r="D11" s="3">
        <f t="shared" si="4"/>
        <v>628716</v>
      </c>
      <c r="E11">
        <v>74</v>
      </c>
      <c r="F11">
        <v>203</v>
      </c>
      <c r="G11">
        <v>3500</v>
      </c>
      <c r="H11">
        <v>22</v>
      </c>
      <c r="I11">
        <v>80</v>
      </c>
      <c r="J11">
        <f>Beregningsark!L16</f>
        <v>0</v>
      </c>
      <c r="K11">
        <f>Beregningsark!L17</f>
        <v>0</v>
      </c>
      <c r="L11" s="4">
        <f t="shared" si="0"/>
        <v>471537</v>
      </c>
      <c r="M11" s="4">
        <f t="shared" si="5"/>
        <v>408665.4</v>
      </c>
      <c r="N11" s="4">
        <f t="shared" si="1"/>
        <v>370942.44</v>
      </c>
      <c r="O11" s="4">
        <f t="shared" si="2"/>
        <v>314358</v>
      </c>
      <c r="P11" s="4">
        <f t="shared" si="6"/>
        <v>213763.44</v>
      </c>
      <c r="Q11" s="4">
        <f t="shared" si="7"/>
        <v>125743.20000000001</v>
      </c>
      <c r="R11" s="4">
        <f t="shared" si="3"/>
        <v>31435.800000000003</v>
      </c>
      <c r="S11" s="1"/>
    </row>
    <row r="12" spans="1:19" x14ac:dyDescent="0.2">
      <c r="A12" s="39" t="str">
        <f>Beregningsark!M7</f>
        <v>Mærke</v>
      </c>
      <c r="B12" t="str">
        <f>Beregningsark!M8</f>
        <v>Model</v>
      </c>
      <c r="C12">
        <f>Beregningsark!M13</f>
        <v>600000</v>
      </c>
      <c r="D12" s="3">
        <f>Beregningsark!M14</f>
        <v>480000</v>
      </c>
      <c r="E12">
        <f>Beregningsark!M10</f>
        <v>75</v>
      </c>
      <c r="F12">
        <f>Beregningsark!M11</f>
        <v>215</v>
      </c>
      <c r="G12" t="str">
        <f>Beregningsark!M9</f>
        <v>Total vægt</v>
      </c>
      <c r="J12">
        <f>Beregningsark!M16</f>
        <v>100000</v>
      </c>
      <c r="K12">
        <f>Beregningsark!M17</f>
        <v>50000</v>
      </c>
      <c r="L12" s="4">
        <f t="shared" si="0"/>
        <v>445000</v>
      </c>
      <c r="M12" s="4">
        <f t="shared" si="5"/>
        <v>387000</v>
      </c>
      <c r="N12" s="4">
        <f t="shared" si="1"/>
        <v>352200</v>
      </c>
      <c r="O12" s="4">
        <f t="shared" si="2"/>
        <v>295000</v>
      </c>
      <c r="P12" s="4">
        <f t="shared" si="6"/>
        <v>199700</v>
      </c>
      <c r="Q12" s="4">
        <f t="shared" si="7"/>
        <v>116000</v>
      </c>
      <c r="R12" s="4">
        <f t="shared" si="3"/>
        <v>29000</v>
      </c>
      <c r="S12" s="1">
        <f>(Beregningsark!$C$3/(F12/E12))*Beregningsark!$C$2/12</f>
        <v>1156.9767441860465</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2"/>
  <sheetViews>
    <sheetView tabSelected="1" zoomScaleNormal="100" workbookViewId="0">
      <selection activeCell="J27" sqref="J27"/>
    </sheetView>
  </sheetViews>
  <sheetFormatPr baseColWidth="10" defaultColWidth="11" defaultRowHeight="16" x14ac:dyDescent="0.2"/>
  <cols>
    <col min="1" max="1" width="3.1640625" bestFit="1" customWidth="1"/>
    <col min="2" max="2" width="33.5" bestFit="1" customWidth="1"/>
    <col min="3" max="7" width="15.5" customWidth="1"/>
    <col min="8" max="9" width="13.6640625" bestFit="1" customWidth="1"/>
    <col min="10" max="12" width="15.5" customWidth="1"/>
    <col min="13" max="13" width="14.6640625" bestFit="1" customWidth="1"/>
    <col min="14" max="14" width="11.33203125" bestFit="1" customWidth="1"/>
    <col min="15" max="15" width="6.83203125" bestFit="1" customWidth="1"/>
    <col min="16" max="16" width="13" bestFit="1" customWidth="1"/>
    <col min="17" max="17" width="15.6640625" bestFit="1" customWidth="1"/>
    <col min="18" max="18" width="15" style="39" bestFit="1" customWidth="1"/>
    <col min="19" max="19" width="28.6640625" style="39" bestFit="1" customWidth="1"/>
    <col min="20" max="20" width="21.1640625" style="39" bestFit="1" customWidth="1"/>
    <col min="21" max="21" width="15.1640625" style="39" customWidth="1"/>
    <col min="22" max="22" width="14.33203125" style="39" bestFit="1" customWidth="1"/>
    <col min="23" max="23" width="21.1640625" style="39" bestFit="1" customWidth="1"/>
    <col min="24" max="24" width="26.1640625" style="39" bestFit="1" customWidth="1"/>
    <col min="25" max="36" width="10.83203125" style="39"/>
  </cols>
  <sheetData>
    <row r="1" spans="1:36" ht="17" thickBot="1" x14ac:dyDescent="0.25">
      <c r="A1" s="28"/>
      <c r="B1" s="28"/>
      <c r="C1" s="28"/>
      <c r="D1" s="28"/>
      <c r="E1" s="28"/>
      <c r="F1" s="28"/>
      <c r="G1" s="28"/>
      <c r="H1" s="28"/>
      <c r="I1" s="28"/>
      <c r="J1" s="28"/>
      <c r="K1" s="28"/>
      <c r="L1" s="28"/>
      <c r="M1" s="28"/>
      <c r="N1" s="28"/>
      <c r="O1" s="28"/>
      <c r="P1" s="28"/>
      <c r="Q1" s="28"/>
      <c r="R1" s="28"/>
      <c r="S1" s="28"/>
      <c r="T1" s="28"/>
      <c r="U1" s="28"/>
    </row>
    <row r="2" spans="1:36" ht="24.75" customHeight="1" x14ac:dyDescent="0.2">
      <c r="A2" s="28"/>
      <c r="B2" s="5" t="s">
        <v>11</v>
      </c>
      <c r="C2" s="38">
        <v>1.99</v>
      </c>
      <c r="D2" s="28"/>
      <c r="E2" s="139" t="s">
        <v>51</v>
      </c>
      <c r="F2" s="139"/>
      <c r="G2" s="139"/>
      <c r="H2" s="139" t="s">
        <v>17</v>
      </c>
      <c r="I2" s="139"/>
      <c r="J2" s="40"/>
      <c r="K2" s="40"/>
      <c r="L2" s="40"/>
      <c r="M2" s="28"/>
      <c r="N2" s="28"/>
      <c r="O2" s="28"/>
      <c r="P2" s="28"/>
      <c r="Q2" s="28"/>
      <c r="R2" s="28"/>
      <c r="S2" s="28"/>
      <c r="T2" s="28"/>
      <c r="U2" s="28"/>
      <c r="AF2"/>
      <c r="AG2"/>
      <c r="AH2"/>
      <c r="AI2"/>
      <c r="AJ2"/>
    </row>
    <row r="3" spans="1:36" ht="24.75" customHeight="1" x14ac:dyDescent="0.2">
      <c r="A3" s="28"/>
      <c r="B3" s="12" t="s">
        <v>16</v>
      </c>
      <c r="C3" s="37">
        <v>20000</v>
      </c>
      <c r="D3" s="28"/>
      <c r="E3" s="40"/>
      <c r="F3" s="40"/>
      <c r="G3" s="40"/>
      <c r="H3" s="138" t="s">
        <v>79</v>
      </c>
      <c r="I3" s="138"/>
      <c r="J3" s="138"/>
      <c r="K3" s="138"/>
      <c r="L3" s="138"/>
      <c r="M3" s="28"/>
      <c r="N3" s="28"/>
      <c r="O3" s="28"/>
      <c r="P3" s="28"/>
      <c r="Q3" s="28"/>
      <c r="R3" s="28"/>
      <c r="S3" s="28"/>
      <c r="T3" s="28"/>
      <c r="U3" s="28"/>
      <c r="AF3"/>
      <c r="AG3"/>
      <c r="AH3"/>
      <c r="AI3"/>
      <c r="AJ3"/>
    </row>
    <row r="4" spans="1:36" ht="24.75" customHeight="1" thickBot="1" x14ac:dyDescent="0.25">
      <c r="A4" s="28"/>
      <c r="B4" s="6" t="s">
        <v>14</v>
      </c>
      <c r="C4" s="21">
        <v>5.9499999999999997E-2</v>
      </c>
      <c r="D4" s="28"/>
      <c r="E4" s="139" t="s">
        <v>26</v>
      </c>
      <c r="F4" s="139"/>
      <c r="G4" s="139"/>
      <c r="H4" s="40" t="s">
        <v>18</v>
      </c>
      <c r="I4" s="40"/>
      <c r="J4" s="40"/>
      <c r="K4" s="40"/>
      <c r="L4" s="40"/>
      <c r="M4" s="28"/>
      <c r="N4" s="28"/>
      <c r="O4" s="28"/>
      <c r="P4" s="28"/>
      <c r="Q4" s="28"/>
      <c r="R4" s="28"/>
      <c r="S4" s="28"/>
      <c r="T4" s="28"/>
      <c r="U4" s="28"/>
      <c r="AF4"/>
      <c r="AG4"/>
      <c r="AH4"/>
      <c r="AI4"/>
      <c r="AJ4"/>
    </row>
    <row r="5" spans="1:36" ht="17" customHeight="1" thickBot="1" x14ac:dyDescent="0.25">
      <c r="A5" s="28"/>
      <c r="B5" s="28"/>
      <c r="C5" s="28"/>
      <c r="D5" s="28"/>
      <c r="E5" s="28"/>
      <c r="F5" s="28"/>
      <c r="G5" s="28"/>
      <c r="H5" s="28"/>
      <c r="I5" s="28"/>
      <c r="J5" s="28"/>
      <c r="K5" s="28"/>
      <c r="L5" s="28"/>
      <c r="M5" s="28"/>
      <c r="N5" s="28"/>
      <c r="O5" s="28"/>
      <c r="P5" s="28"/>
      <c r="Q5" s="28"/>
      <c r="R5" s="28"/>
      <c r="S5" s="28"/>
      <c r="T5" s="28"/>
      <c r="U5" s="28"/>
    </row>
    <row r="6" spans="1:36" ht="17" thickBot="1" x14ac:dyDescent="0.25">
      <c r="A6" s="28"/>
      <c r="B6" s="28"/>
      <c r="C6" s="28"/>
      <c r="D6" s="28"/>
      <c r="E6" s="28"/>
      <c r="F6" s="28"/>
      <c r="G6" s="28"/>
      <c r="H6" s="28"/>
      <c r="I6" s="28"/>
      <c r="J6" s="28"/>
      <c r="K6" s="28"/>
      <c r="L6" s="28"/>
      <c r="M6" s="28"/>
      <c r="N6" s="28"/>
      <c r="O6" s="28"/>
      <c r="P6" s="28"/>
      <c r="Q6" s="28"/>
      <c r="R6" s="28"/>
      <c r="S6" s="56" t="s">
        <v>19</v>
      </c>
      <c r="T6" s="28"/>
      <c r="U6" s="28"/>
    </row>
    <row r="7" spans="1:36" x14ac:dyDescent="0.2">
      <c r="A7" s="28"/>
      <c r="B7" s="5" t="s">
        <v>0</v>
      </c>
      <c r="C7" s="62" t="str">
        <f>Datagrundlag!A2</f>
        <v>Mercedes</v>
      </c>
      <c r="D7" s="77" t="str">
        <f>Datagrundlag!A9</f>
        <v xml:space="preserve">Ford </v>
      </c>
      <c r="E7" s="108" t="str">
        <f>Datagrundlag!A3</f>
        <v>Iveco</v>
      </c>
      <c r="F7" s="108" t="str">
        <f>Datagrundlag!A5</f>
        <v>Fiat</v>
      </c>
      <c r="G7" s="108" t="str">
        <f>Datagrundlag!A8</f>
        <v>Mercedes</v>
      </c>
      <c r="H7" s="108" t="str">
        <f>Datagrundlag!A4</f>
        <v>Maxus</v>
      </c>
      <c r="I7" s="108" t="str">
        <f>Datagrundlag!A10</f>
        <v>Maxus</v>
      </c>
      <c r="J7" s="33" t="str">
        <f>Datagrundlag!A6</f>
        <v>Maxus</v>
      </c>
      <c r="K7" s="33" t="str">
        <f>Datagrundlag!A7</f>
        <v>Maxus</v>
      </c>
      <c r="L7" s="110" t="str">
        <f>Datagrundlag!A11</f>
        <v>Iveco</v>
      </c>
      <c r="M7" s="55" t="s">
        <v>0</v>
      </c>
      <c r="N7" s="30" t="s">
        <v>27</v>
      </c>
      <c r="O7" s="28"/>
      <c r="P7" s="28"/>
      <c r="Q7" s="28"/>
      <c r="R7" s="28"/>
      <c r="S7" s="28"/>
      <c r="T7" s="28"/>
      <c r="U7" s="28"/>
      <c r="AH7"/>
      <c r="AI7"/>
      <c r="AJ7"/>
    </row>
    <row r="8" spans="1:36" ht="37" customHeight="1" x14ac:dyDescent="0.2">
      <c r="A8" s="28"/>
      <c r="B8" s="65" t="s">
        <v>1</v>
      </c>
      <c r="C8" s="66" t="str">
        <f>Datagrundlag!B2</f>
        <v>e-Sprinter</v>
      </c>
      <c r="D8" s="78" t="str">
        <f>Datagrundlag!B9</f>
        <v>E-Transit 350 L2H2</v>
      </c>
      <c r="E8" s="67" t="str">
        <f>Datagrundlag!B3</f>
        <v>e-Daily 42S14E chassis</v>
      </c>
      <c r="F8" s="67" t="str">
        <f>Datagrundlag!B5</f>
        <v>eDucato 122 Chassis</v>
      </c>
      <c r="G8" s="67" t="str">
        <f>Datagrundlag!B8</f>
        <v>e-sprinter</v>
      </c>
      <c r="H8" s="137" t="str">
        <f>Datagrundlag!B4</f>
        <v>E-DELIVER 9 L2H2</v>
      </c>
      <c r="I8" s="67" t="str">
        <f>Datagrundlag!B10</f>
        <v>EV80 TWB H3</v>
      </c>
      <c r="J8" s="67" t="str">
        <f>Datagrundlag!B6</f>
        <v>E-deliver 9 L3H2</v>
      </c>
      <c r="K8" s="67" t="str">
        <f>Datagrundlag!B7</f>
        <v>E-deliver 9 Chassis L3N1</v>
      </c>
      <c r="L8" s="111" t="str">
        <f>Datagrundlag!B11</f>
        <v>e-daily 35S14E L3H2</v>
      </c>
      <c r="M8" s="52" t="s">
        <v>1</v>
      </c>
      <c r="N8" s="30" t="s">
        <v>28</v>
      </c>
      <c r="O8" s="28"/>
      <c r="P8" s="28"/>
      <c r="Q8" s="28"/>
      <c r="R8" s="28"/>
      <c r="S8" s="28"/>
      <c r="T8" s="28"/>
      <c r="U8" s="28"/>
      <c r="AH8"/>
      <c r="AI8"/>
      <c r="AJ8"/>
    </row>
    <row r="9" spans="1:36" x14ac:dyDescent="0.2">
      <c r="A9" s="28"/>
      <c r="B9" s="35" t="s">
        <v>5</v>
      </c>
      <c r="C9" s="63">
        <f>Datagrundlag!G2</f>
        <v>3500</v>
      </c>
      <c r="D9" s="79">
        <f>Datagrundlag!G9</f>
        <v>3500</v>
      </c>
      <c r="E9" s="119">
        <f>Datagrundlag!G3</f>
        <v>4250</v>
      </c>
      <c r="F9" s="119">
        <f>Datagrundlag!G5</f>
        <v>4250</v>
      </c>
      <c r="G9" s="119">
        <f>Datagrundlag!G8</f>
        <v>3500</v>
      </c>
      <c r="H9" s="119">
        <f>Datagrundlag!G4</f>
        <v>3500</v>
      </c>
      <c r="I9" s="119">
        <f>Datagrundlag!G10</f>
        <v>3500</v>
      </c>
      <c r="J9" s="34">
        <f>Datagrundlag!G6</f>
        <v>3500</v>
      </c>
      <c r="K9" s="34">
        <f>Datagrundlag!G7</f>
        <v>3500</v>
      </c>
      <c r="L9" s="112">
        <f>Datagrundlag!G11</f>
        <v>3500</v>
      </c>
      <c r="M9" s="52" t="s">
        <v>25</v>
      </c>
      <c r="N9" s="30" t="s">
        <v>28</v>
      </c>
      <c r="O9" s="28"/>
      <c r="P9" s="28"/>
      <c r="Q9" s="28"/>
      <c r="R9" s="28"/>
      <c r="S9" s="28"/>
      <c r="T9" s="28"/>
      <c r="U9" s="28"/>
      <c r="AH9"/>
      <c r="AI9"/>
      <c r="AJ9"/>
    </row>
    <row r="10" spans="1:36" x14ac:dyDescent="0.2">
      <c r="A10" s="28"/>
      <c r="B10" s="35" t="s">
        <v>20</v>
      </c>
      <c r="C10" s="63">
        <f>Datagrundlag!E2</f>
        <v>41.4</v>
      </c>
      <c r="D10" s="79">
        <f>Datagrundlag!E9</f>
        <v>68</v>
      </c>
      <c r="E10" s="119">
        <f>Datagrundlag!E3</f>
        <v>74</v>
      </c>
      <c r="F10" s="119">
        <f>Datagrundlag!E5</f>
        <v>79</v>
      </c>
      <c r="G10" s="119">
        <f>Datagrundlag!E8</f>
        <v>55.2</v>
      </c>
      <c r="H10" s="119">
        <f>Datagrundlag!E4</f>
        <v>51.5</v>
      </c>
      <c r="I10" s="119">
        <f>Datagrundlag!E10</f>
        <v>56</v>
      </c>
      <c r="J10" s="34">
        <f>Datagrundlag!E6</f>
        <v>72</v>
      </c>
      <c r="K10" s="34">
        <f>Datagrundlag!E7</f>
        <v>65</v>
      </c>
      <c r="L10" s="112">
        <f>Datagrundlag!E11</f>
        <v>74</v>
      </c>
      <c r="M10" s="53">
        <v>75</v>
      </c>
      <c r="N10" s="30" t="s">
        <v>28</v>
      </c>
      <c r="O10" s="28"/>
      <c r="P10" s="28"/>
      <c r="Q10" s="28"/>
      <c r="R10" s="28"/>
      <c r="S10" s="28"/>
      <c r="T10" s="28"/>
      <c r="U10" s="28"/>
      <c r="AH10"/>
      <c r="AI10"/>
      <c r="AJ10"/>
    </row>
    <row r="11" spans="1:36" ht="17" thickBot="1" x14ac:dyDescent="0.25">
      <c r="A11" s="28"/>
      <c r="B11" s="6" t="s">
        <v>15</v>
      </c>
      <c r="C11" s="64">
        <f>Datagrundlag!F2</f>
        <v>107</v>
      </c>
      <c r="D11" s="80">
        <f>Datagrundlag!F9</f>
        <v>258</v>
      </c>
      <c r="E11" s="120">
        <f>Datagrundlag!F3</f>
        <v>203</v>
      </c>
      <c r="F11" s="120">
        <f>Datagrundlag!F5</f>
        <v>238</v>
      </c>
      <c r="G11" s="120">
        <f>Datagrundlag!F8</f>
        <v>143</v>
      </c>
      <c r="H11" s="120">
        <f>Datagrundlag!F4</f>
        <v>186</v>
      </c>
      <c r="I11" s="120">
        <f>Datagrundlag!F10</f>
        <v>152</v>
      </c>
      <c r="J11" s="36">
        <f>Datagrundlag!F6</f>
        <v>236</v>
      </c>
      <c r="K11" s="36">
        <f>Datagrundlag!F7</f>
        <v>172</v>
      </c>
      <c r="L11" s="113">
        <f>Datagrundlag!F11</f>
        <v>203</v>
      </c>
      <c r="M11" s="54">
        <v>215</v>
      </c>
      <c r="N11" s="30"/>
      <c r="O11" s="28"/>
      <c r="P11" s="28"/>
      <c r="Q11" s="28"/>
      <c r="R11" s="28"/>
      <c r="S11" s="28"/>
      <c r="T11" s="28"/>
      <c r="U11" s="28"/>
      <c r="AH11"/>
      <c r="AI11"/>
      <c r="AJ11"/>
    </row>
    <row r="12" spans="1:36" ht="17" customHeight="1" thickBot="1" x14ac:dyDescent="0.25">
      <c r="A12" s="28"/>
      <c r="B12" s="28"/>
      <c r="C12" s="30"/>
      <c r="D12" s="30"/>
      <c r="E12" s="30"/>
      <c r="F12" s="30"/>
      <c r="G12" s="30"/>
      <c r="H12" s="30"/>
      <c r="I12" s="30"/>
      <c r="J12" s="30"/>
      <c r="K12" s="30"/>
      <c r="L12" s="30"/>
      <c r="M12" s="30"/>
      <c r="N12" s="30"/>
      <c r="O12" s="28"/>
      <c r="P12" s="28"/>
      <c r="Q12" s="28"/>
      <c r="R12" s="28"/>
      <c r="S12" s="28"/>
      <c r="T12" s="28"/>
      <c r="U12" s="28"/>
      <c r="AH12"/>
      <c r="AI12"/>
      <c r="AJ12"/>
    </row>
    <row r="13" spans="1:36" x14ac:dyDescent="0.2">
      <c r="A13" s="28"/>
      <c r="B13" s="5" t="s">
        <v>13</v>
      </c>
      <c r="C13" s="15">
        <f>Datagrundlag!C2</f>
        <v>570887</v>
      </c>
      <c r="D13" s="15">
        <f>Datagrundlag!C9</f>
        <v>532391</v>
      </c>
      <c r="E13" s="121">
        <f>Datagrundlag!C3</f>
        <v>787020</v>
      </c>
      <c r="F13" s="121">
        <f>Datagrundlag!C5</f>
        <v>705108</v>
      </c>
      <c r="G13" s="122">
        <f>Datagrundlag!C8</f>
        <v>674506</v>
      </c>
      <c r="H13" s="121">
        <f>Datagrundlag!C4</f>
        <v>556125</v>
      </c>
      <c r="I13" s="121">
        <f>Datagrundlag!C10</f>
        <v>474875</v>
      </c>
      <c r="J13" s="16">
        <f>Datagrundlag!C6</f>
        <v>646781</v>
      </c>
      <c r="K13" s="16">
        <f>Datagrundlag!C7</f>
        <v>574906</v>
      </c>
      <c r="L13" s="114">
        <f>Datagrundlag!C11</f>
        <v>785895</v>
      </c>
      <c r="M13" s="47">
        <v>600000</v>
      </c>
      <c r="N13" s="30" t="s">
        <v>28</v>
      </c>
      <c r="O13" s="28"/>
      <c r="P13" s="28"/>
      <c r="Q13" s="28"/>
      <c r="R13" s="28"/>
      <c r="S13" s="28"/>
      <c r="T13" s="28"/>
      <c r="U13" s="28"/>
      <c r="Z13" s="42"/>
      <c r="AH13"/>
      <c r="AI13"/>
      <c r="AJ13"/>
    </row>
    <row r="14" spans="1:36" ht="17" customHeight="1" thickBot="1" x14ac:dyDescent="0.25">
      <c r="A14" s="28"/>
      <c r="B14" s="6" t="s">
        <v>12</v>
      </c>
      <c r="C14" s="17">
        <f>Datagrundlag!D2</f>
        <v>456709.6</v>
      </c>
      <c r="D14" s="17">
        <f>Datagrundlag!D9</f>
        <v>425912.8</v>
      </c>
      <c r="E14" s="123">
        <f>Datagrundlag!D3</f>
        <v>629616</v>
      </c>
      <c r="F14" s="123">
        <f>Datagrundlag!D5</f>
        <v>564086.4</v>
      </c>
      <c r="G14" s="124">
        <f>Datagrundlag!D8</f>
        <v>539604.80000000005</v>
      </c>
      <c r="H14" s="123">
        <f>Datagrundlag!D4</f>
        <v>444900</v>
      </c>
      <c r="I14" s="123">
        <f>Datagrundlag!D10</f>
        <v>379900</v>
      </c>
      <c r="J14" s="18">
        <f>Datagrundlag!D6</f>
        <v>517424.8</v>
      </c>
      <c r="K14" s="18">
        <f>Datagrundlag!D7</f>
        <v>459924.8</v>
      </c>
      <c r="L14" s="115">
        <f>Datagrundlag!D11</f>
        <v>628716</v>
      </c>
      <c r="M14" s="48">
        <f>M13/1.25</f>
        <v>480000</v>
      </c>
      <c r="N14" s="30" t="s">
        <v>28</v>
      </c>
      <c r="O14" s="28"/>
      <c r="P14" s="28"/>
      <c r="Q14" s="28"/>
      <c r="R14" s="28"/>
      <c r="S14" s="28"/>
      <c r="T14" s="28"/>
      <c r="U14" s="28"/>
      <c r="Z14" s="42"/>
      <c r="AH14"/>
      <c r="AI14"/>
      <c r="AJ14"/>
    </row>
    <row r="15" spans="1:36" ht="17" thickBot="1" x14ac:dyDescent="0.25">
      <c r="A15" s="28"/>
      <c r="B15" s="28"/>
      <c r="C15" s="31"/>
      <c r="D15" s="31"/>
      <c r="E15" s="31"/>
      <c r="F15" s="31"/>
      <c r="G15" s="31"/>
      <c r="H15" s="31"/>
      <c r="I15" s="31"/>
      <c r="J15" s="31"/>
      <c r="K15" s="31"/>
      <c r="L15" s="31"/>
      <c r="M15" s="46"/>
      <c r="N15" s="41"/>
      <c r="O15" s="28"/>
      <c r="P15" s="28"/>
      <c r="Q15" s="28"/>
      <c r="R15" s="28"/>
      <c r="S15" s="28"/>
      <c r="T15" s="28"/>
      <c r="U15" s="28"/>
      <c r="Z15" s="42"/>
      <c r="AH15"/>
      <c r="AI15"/>
      <c r="AJ15"/>
    </row>
    <row r="16" spans="1:36" x14ac:dyDescent="0.2">
      <c r="A16" s="28"/>
      <c r="B16" s="5" t="s">
        <v>21</v>
      </c>
      <c r="C16" s="19">
        <v>0</v>
      </c>
      <c r="D16" s="81"/>
      <c r="E16" s="60">
        <v>0</v>
      </c>
      <c r="F16" s="60">
        <v>0</v>
      </c>
      <c r="G16" s="60"/>
      <c r="H16" s="60">
        <v>0</v>
      </c>
      <c r="I16" s="60"/>
      <c r="J16" s="60">
        <v>0</v>
      </c>
      <c r="K16" s="60">
        <v>0</v>
      </c>
      <c r="L16" s="116"/>
      <c r="M16" s="47">
        <v>100000</v>
      </c>
      <c r="N16" s="30" t="s">
        <v>28</v>
      </c>
      <c r="O16" s="28"/>
      <c r="P16" s="28"/>
      <c r="Q16" s="28"/>
      <c r="R16" s="28"/>
      <c r="S16" s="28"/>
      <c r="T16" s="28"/>
      <c r="U16" s="28"/>
      <c r="Z16" s="42"/>
      <c r="AH16"/>
      <c r="AI16"/>
      <c r="AJ16"/>
    </row>
    <row r="17" spans="1:36" ht="17" thickBot="1" x14ac:dyDescent="0.25">
      <c r="A17" s="28"/>
      <c r="B17" s="6" t="s">
        <v>22</v>
      </c>
      <c r="C17" s="20">
        <v>0</v>
      </c>
      <c r="D17" s="82"/>
      <c r="E17" s="61">
        <v>0</v>
      </c>
      <c r="F17" s="61">
        <v>0</v>
      </c>
      <c r="G17" s="61"/>
      <c r="H17" s="61">
        <v>0</v>
      </c>
      <c r="I17" s="61"/>
      <c r="J17" s="61">
        <v>0</v>
      </c>
      <c r="K17" s="61">
        <v>0</v>
      </c>
      <c r="L17" s="117"/>
      <c r="M17" s="48">
        <v>50000</v>
      </c>
      <c r="N17" s="30" t="s">
        <v>28</v>
      </c>
      <c r="O17" s="28"/>
      <c r="P17" s="28"/>
      <c r="Q17" s="28"/>
      <c r="R17" s="28"/>
      <c r="S17" s="28"/>
      <c r="T17" s="28"/>
      <c r="U17" s="28"/>
      <c r="Z17" s="42"/>
      <c r="AH17"/>
      <c r="AI17"/>
      <c r="AJ17"/>
    </row>
    <row r="18" spans="1:36" ht="17" thickBot="1" x14ac:dyDescent="0.25">
      <c r="A18" s="28"/>
      <c r="B18" s="28"/>
      <c r="C18" s="31"/>
      <c r="D18" s="31"/>
      <c r="E18" s="28"/>
      <c r="F18" s="28"/>
      <c r="G18" s="28"/>
      <c r="H18" s="28"/>
      <c r="I18" s="28"/>
      <c r="J18" s="28"/>
      <c r="K18" s="28"/>
      <c r="L18" s="28"/>
      <c r="M18" s="41"/>
      <c r="N18" s="41"/>
      <c r="O18" s="44"/>
      <c r="P18" s="44"/>
      <c r="Q18" s="44"/>
      <c r="R18" s="44"/>
      <c r="S18" s="44"/>
      <c r="T18" s="44"/>
      <c r="U18" s="44"/>
      <c r="V18" s="42"/>
      <c r="W18" s="42"/>
      <c r="X18" s="42"/>
      <c r="Y18" s="42"/>
      <c r="Z18" s="42"/>
      <c r="AH18"/>
      <c r="AI18"/>
      <c r="AJ18"/>
    </row>
    <row r="19" spans="1:36" ht="17" thickBot="1" x14ac:dyDescent="0.25">
      <c r="A19" s="28"/>
      <c r="B19" s="57" t="s">
        <v>29</v>
      </c>
      <c r="C19" s="93">
        <f t="shared" ref="C19:I19" si="0">C14+C16+C17</f>
        <v>456709.6</v>
      </c>
      <c r="D19" s="93">
        <f t="shared" si="0"/>
        <v>425912.8</v>
      </c>
      <c r="E19" s="125">
        <f t="shared" si="0"/>
        <v>629616</v>
      </c>
      <c r="F19" s="125">
        <f t="shared" si="0"/>
        <v>564086.4</v>
      </c>
      <c r="G19" s="125">
        <f t="shared" si="0"/>
        <v>539604.80000000005</v>
      </c>
      <c r="H19" s="125">
        <f t="shared" si="0"/>
        <v>444900</v>
      </c>
      <c r="I19" s="125">
        <f t="shared" si="0"/>
        <v>379900</v>
      </c>
      <c r="J19" s="58">
        <f t="shared" ref="J19:M19" si="1">J14+J16+J17</f>
        <v>517424.8</v>
      </c>
      <c r="K19" s="58">
        <f t="shared" si="1"/>
        <v>459924.8</v>
      </c>
      <c r="L19" s="58">
        <f t="shared" si="1"/>
        <v>628716</v>
      </c>
      <c r="M19" s="49">
        <f t="shared" si="1"/>
        <v>630000</v>
      </c>
      <c r="N19" s="41"/>
      <c r="O19" s="29"/>
      <c r="P19" s="29"/>
      <c r="Q19" s="29"/>
      <c r="R19" s="29"/>
      <c r="S19" s="29"/>
      <c r="T19" s="29"/>
      <c r="U19" s="29"/>
      <c r="V19" s="68"/>
      <c r="W19" s="42"/>
      <c r="X19" s="42"/>
      <c r="Y19" s="42"/>
      <c r="Z19" s="42"/>
      <c r="AH19"/>
      <c r="AI19"/>
      <c r="AJ19"/>
    </row>
    <row r="20" spans="1:36" ht="17" thickBot="1" x14ac:dyDescent="0.25">
      <c r="A20" s="28"/>
      <c r="B20" s="5" t="s">
        <v>23</v>
      </c>
      <c r="C20" s="13">
        <f>Datagrundlag!S2</f>
        <v>1283.2710280373833</v>
      </c>
      <c r="D20" s="83">
        <f>Datagrundlag!S9</f>
        <v>874.16020671834622</v>
      </c>
      <c r="E20" s="126">
        <f>Datagrundlag!S3</f>
        <v>1209.031198686371</v>
      </c>
      <c r="F20" s="126">
        <f>Datagrundlag!S5</f>
        <v>1100.9103641456581</v>
      </c>
      <c r="G20" s="126">
        <f>Datagrundlag!S8</f>
        <v>1280.2797202797203</v>
      </c>
      <c r="H20" s="126">
        <f>Datagrundlag!S4</f>
        <v>918.32437275985649</v>
      </c>
      <c r="I20" s="126">
        <f>Datagrundlag!S10</f>
        <v>1221.9298245614034</v>
      </c>
      <c r="J20" s="9">
        <f>Datagrundlag!S6</f>
        <v>1011.864406779661</v>
      </c>
      <c r="K20" s="9">
        <f>Datagrundlag!S7</f>
        <v>1253.3914728682171</v>
      </c>
      <c r="L20" s="9">
        <f>Datagrundlag!S7</f>
        <v>1253.3914728682171</v>
      </c>
      <c r="M20" s="96">
        <f>Datagrundlag!S12</f>
        <v>1156.9767441860465</v>
      </c>
      <c r="N20" s="30"/>
      <c r="O20" s="140" t="s">
        <v>52</v>
      </c>
      <c r="P20" s="140"/>
      <c r="Q20" s="140"/>
      <c r="R20" s="140"/>
      <c r="S20" s="140"/>
      <c r="T20" s="140"/>
      <c r="U20" s="140"/>
      <c r="V20" s="68"/>
      <c r="W20" s="42"/>
      <c r="X20" s="42"/>
      <c r="Y20" s="42"/>
      <c r="Z20" s="42"/>
      <c r="AH20"/>
      <c r="AI20"/>
      <c r="AJ20"/>
    </row>
    <row r="21" spans="1:36" ht="17" thickBot="1" x14ac:dyDescent="0.25">
      <c r="A21" s="28"/>
      <c r="B21" s="6" t="s">
        <v>24</v>
      </c>
      <c r="C21" s="27">
        <v>660</v>
      </c>
      <c r="D21" s="84">
        <v>660</v>
      </c>
      <c r="E21" s="127">
        <v>660</v>
      </c>
      <c r="F21" s="127">
        <v>660</v>
      </c>
      <c r="G21" s="127">
        <v>660</v>
      </c>
      <c r="H21" s="127">
        <v>660</v>
      </c>
      <c r="I21" s="127">
        <v>660</v>
      </c>
      <c r="J21" s="10">
        <v>660</v>
      </c>
      <c r="K21" s="10">
        <v>660</v>
      </c>
      <c r="L21" s="118">
        <v>660</v>
      </c>
      <c r="M21" s="96">
        <v>660</v>
      </c>
      <c r="N21" s="30" t="s">
        <v>28</v>
      </c>
      <c r="O21" s="30" t="s">
        <v>72</v>
      </c>
      <c r="P21" s="30" t="str">
        <f>E8</f>
        <v>e-Daily 42S14E chassis</v>
      </c>
      <c r="Q21" s="30" t="str">
        <f>H8</f>
        <v>E-DELIVER 9 L2H2</v>
      </c>
      <c r="R21" s="30" t="str">
        <f>F8</f>
        <v>eDucato 122 Chassis</v>
      </c>
      <c r="S21" s="30" t="str">
        <f>J8</f>
        <v>E-deliver 9 L3H2</v>
      </c>
      <c r="T21" s="30" t="str">
        <f>K8</f>
        <v>E-deliver 9 Chassis L3N1</v>
      </c>
      <c r="U21" s="30" t="str">
        <f>M8</f>
        <v>Model</v>
      </c>
      <c r="V21" s="68"/>
      <c r="W21" s="42"/>
      <c r="X21" s="42"/>
      <c r="Y21" s="42"/>
      <c r="Z21" s="42"/>
      <c r="AH21"/>
      <c r="AI21"/>
      <c r="AJ21"/>
    </row>
    <row r="22" spans="1:36" x14ac:dyDescent="0.2">
      <c r="A22" s="28"/>
      <c r="B22" s="22" t="s">
        <v>30</v>
      </c>
      <c r="C22" s="94">
        <f>(O22*$C$3)/12</f>
        <v>83.333333333333329</v>
      </c>
      <c r="D22" s="59">
        <f>(O22*$C$3)/12</f>
        <v>83.333333333333329</v>
      </c>
      <c r="E22" s="128">
        <f>(P22*$C$3)/12</f>
        <v>83.333333333333329</v>
      </c>
      <c r="F22" s="129">
        <f t="shared" ref="F22:F28" si="2">(R22*$C$3)/12</f>
        <v>83.333333333333329</v>
      </c>
      <c r="G22" s="136">
        <f>F22</f>
        <v>83.333333333333329</v>
      </c>
      <c r="H22" s="130">
        <f t="shared" ref="H22:H28" si="3">(Q22*$C$3)/12</f>
        <v>83.333333333333329</v>
      </c>
      <c r="I22" s="128">
        <f>H22</f>
        <v>83.333333333333329</v>
      </c>
      <c r="J22" s="59">
        <f t="shared" ref="J22:L28" si="4">(S22*$C$3)/12</f>
        <v>83.333333333333329</v>
      </c>
      <c r="K22" s="59">
        <f t="shared" si="4"/>
        <v>83.333333333333329</v>
      </c>
      <c r="L22" s="59">
        <f t="shared" si="4"/>
        <v>83.333333333333329</v>
      </c>
      <c r="M22" s="95" cm="1">
        <f t="array" ref="M22">AVERAGE((O22:U22)*$C$3)/12</f>
        <v>83.333333333333329</v>
      </c>
      <c r="N22" s="41"/>
      <c r="O22" s="103">
        <v>0.05</v>
      </c>
      <c r="P22" s="103">
        <v>0.05</v>
      </c>
      <c r="Q22" s="103">
        <v>0.05</v>
      </c>
      <c r="R22" s="103">
        <v>0.05</v>
      </c>
      <c r="S22" s="103">
        <v>0.05</v>
      </c>
      <c r="T22" s="103">
        <v>0.05</v>
      </c>
      <c r="U22" s="103">
        <v>0.05</v>
      </c>
      <c r="V22" s="68"/>
      <c r="W22" s="42"/>
      <c r="X22" s="42"/>
      <c r="Y22" s="42"/>
      <c r="Z22" s="42"/>
      <c r="AH22"/>
      <c r="AI22"/>
      <c r="AJ22"/>
    </row>
    <row r="23" spans="1:36" x14ac:dyDescent="0.2">
      <c r="A23" s="28"/>
      <c r="B23" s="23" t="s">
        <v>31</v>
      </c>
      <c r="C23" s="88">
        <f t="shared" ref="C23:C28" si="5">(O23*$C$3)/12</f>
        <v>250</v>
      </c>
      <c r="D23" s="59">
        <f t="shared" ref="D23:D27" si="6">(O23*$C$3)/12</f>
        <v>250</v>
      </c>
      <c r="E23" s="131">
        <f>(P23*$C$3)/12</f>
        <v>200</v>
      </c>
      <c r="F23" s="132">
        <f t="shared" si="2"/>
        <v>133.33333333333334</v>
      </c>
      <c r="G23" s="128">
        <f t="shared" ref="G23:G28" si="7">F23</f>
        <v>133.33333333333334</v>
      </c>
      <c r="H23" s="133">
        <f t="shared" si="3"/>
        <v>133.33333333333334</v>
      </c>
      <c r="I23" s="131">
        <f t="shared" ref="I23:I28" si="8">H23</f>
        <v>133.33333333333334</v>
      </c>
      <c r="J23" s="25">
        <f t="shared" si="4"/>
        <v>133.33333333333334</v>
      </c>
      <c r="K23" s="25">
        <f t="shared" si="4"/>
        <v>133.33333333333334</v>
      </c>
      <c r="L23" s="25">
        <f t="shared" si="4"/>
        <v>133.33333333333334</v>
      </c>
      <c r="M23" s="50" cm="1">
        <f t="array" ref="M23">AVERAGE((O23:U23)*$C$3)/12</f>
        <v>159.52380952380952</v>
      </c>
      <c r="N23" s="41"/>
      <c r="O23" s="103">
        <v>0.15</v>
      </c>
      <c r="P23" s="103">
        <v>0.12</v>
      </c>
      <c r="Q23" s="103">
        <v>0.08</v>
      </c>
      <c r="R23" s="103">
        <v>0.08</v>
      </c>
      <c r="S23" s="103">
        <v>0.08</v>
      </c>
      <c r="T23" s="103">
        <v>0.08</v>
      </c>
      <c r="U23" s="103">
        <v>0.08</v>
      </c>
      <c r="V23" s="68"/>
      <c r="W23" s="42"/>
      <c r="X23" s="42"/>
      <c r="Y23" s="42"/>
      <c r="Z23" s="42"/>
      <c r="AH23"/>
      <c r="AI23"/>
      <c r="AJ23"/>
    </row>
    <row r="24" spans="1:36" x14ac:dyDescent="0.2">
      <c r="A24" s="28"/>
      <c r="B24" s="23" t="s">
        <v>32</v>
      </c>
      <c r="C24" s="88">
        <f t="shared" si="5"/>
        <v>366.66666666666669</v>
      </c>
      <c r="D24" s="59">
        <f t="shared" si="6"/>
        <v>366.66666666666669</v>
      </c>
      <c r="E24" s="131">
        <f t="shared" ref="E24:E28" si="9">(P24*$C$3)/12</f>
        <v>300</v>
      </c>
      <c r="F24" s="132">
        <f t="shared" si="2"/>
        <v>366.66666666666669</v>
      </c>
      <c r="G24" s="128">
        <f t="shared" si="7"/>
        <v>366.66666666666669</v>
      </c>
      <c r="H24" s="133">
        <f t="shared" si="3"/>
        <v>366.66666666666669</v>
      </c>
      <c r="I24" s="131">
        <f t="shared" si="8"/>
        <v>366.66666666666669</v>
      </c>
      <c r="J24" s="25">
        <f t="shared" si="4"/>
        <v>366.66666666666669</v>
      </c>
      <c r="K24" s="25">
        <f t="shared" si="4"/>
        <v>366.66666666666669</v>
      </c>
      <c r="L24" s="25">
        <f t="shared" si="4"/>
        <v>400</v>
      </c>
      <c r="M24" s="50" cm="1">
        <f t="array" ref="M24">AVERAGE((O24:U24)*$C$3)/12</f>
        <v>361.90476190476193</v>
      </c>
      <c r="N24" s="41"/>
      <c r="O24" s="103">
        <v>0.22</v>
      </c>
      <c r="P24" s="103">
        <v>0.18</v>
      </c>
      <c r="Q24" s="103">
        <v>0.22</v>
      </c>
      <c r="R24" s="103">
        <v>0.22</v>
      </c>
      <c r="S24" s="103">
        <v>0.22</v>
      </c>
      <c r="T24" s="103">
        <v>0.22</v>
      </c>
      <c r="U24" s="103">
        <v>0.24</v>
      </c>
      <c r="V24" s="68"/>
      <c r="W24" s="42"/>
      <c r="X24" s="42"/>
      <c r="Y24" s="42"/>
      <c r="Z24" s="42"/>
      <c r="AH24"/>
      <c r="AI24"/>
      <c r="AJ24"/>
    </row>
    <row r="25" spans="1:36" x14ac:dyDescent="0.2">
      <c r="A25" s="28"/>
      <c r="B25" s="23" t="s">
        <v>33</v>
      </c>
      <c r="C25" s="88">
        <f t="shared" si="5"/>
        <v>533.33333333333337</v>
      </c>
      <c r="D25" s="59">
        <f t="shared" si="6"/>
        <v>533.33333333333337</v>
      </c>
      <c r="E25" s="131">
        <f t="shared" si="9"/>
        <v>450</v>
      </c>
      <c r="F25" s="132">
        <f t="shared" si="2"/>
        <v>533.33333333333337</v>
      </c>
      <c r="G25" s="128">
        <f t="shared" si="7"/>
        <v>533.33333333333337</v>
      </c>
      <c r="H25" s="133">
        <f t="shared" si="3"/>
        <v>533.33333333333337</v>
      </c>
      <c r="I25" s="131">
        <f t="shared" si="8"/>
        <v>533.33333333333337</v>
      </c>
      <c r="J25" s="25">
        <f t="shared" si="4"/>
        <v>533.33333333333337</v>
      </c>
      <c r="K25" s="25">
        <f t="shared" si="4"/>
        <v>533.33333333333337</v>
      </c>
      <c r="L25" s="25">
        <f t="shared" si="4"/>
        <v>450</v>
      </c>
      <c r="M25" s="50" cm="1">
        <f t="array" ref="M25">AVERAGE((O25:U25)*$C$3)/12</f>
        <v>509.52380952380958</v>
      </c>
      <c r="N25" s="41"/>
      <c r="O25" s="103">
        <v>0.32</v>
      </c>
      <c r="P25" s="103">
        <v>0.27</v>
      </c>
      <c r="Q25" s="103">
        <v>0.32</v>
      </c>
      <c r="R25" s="103">
        <v>0.32</v>
      </c>
      <c r="S25" s="103">
        <v>0.32</v>
      </c>
      <c r="T25" s="103">
        <v>0.32</v>
      </c>
      <c r="U25" s="103">
        <v>0.27</v>
      </c>
      <c r="V25" s="68"/>
      <c r="W25" s="42"/>
      <c r="X25" s="42"/>
      <c r="Y25" s="42"/>
      <c r="Z25" s="42"/>
      <c r="AH25"/>
      <c r="AI25"/>
      <c r="AJ25"/>
    </row>
    <row r="26" spans="1:36" x14ac:dyDescent="0.2">
      <c r="A26" s="28"/>
      <c r="B26" s="23" t="s">
        <v>34</v>
      </c>
      <c r="C26" s="88">
        <f t="shared" si="5"/>
        <v>633.33333333333337</v>
      </c>
      <c r="D26" s="59">
        <f t="shared" si="6"/>
        <v>633.33333333333337</v>
      </c>
      <c r="E26" s="131">
        <f t="shared" si="9"/>
        <v>583.33333333333337</v>
      </c>
      <c r="F26" s="132">
        <f t="shared" si="2"/>
        <v>633.33333333333337</v>
      </c>
      <c r="G26" s="128">
        <f t="shared" si="7"/>
        <v>633.33333333333337</v>
      </c>
      <c r="H26" s="133">
        <f t="shared" si="3"/>
        <v>650</v>
      </c>
      <c r="I26" s="131">
        <f t="shared" si="8"/>
        <v>650</v>
      </c>
      <c r="J26" s="25">
        <f t="shared" si="4"/>
        <v>650</v>
      </c>
      <c r="K26" s="25">
        <f t="shared" si="4"/>
        <v>650</v>
      </c>
      <c r="L26" s="25">
        <f t="shared" si="4"/>
        <v>583.33333333333337</v>
      </c>
      <c r="M26" s="50" cm="1">
        <f t="array" ref="M26">AVERAGE((O26:U26)*$C$3)/12</f>
        <v>626.19047619047626</v>
      </c>
      <c r="N26" s="41"/>
      <c r="O26" s="103">
        <v>0.38</v>
      </c>
      <c r="P26" s="103">
        <v>0.35</v>
      </c>
      <c r="Q26" s="103">
        <v>0.39</v>
      </c>
      <c r="R26" s="103">
        <v>0.38</v>
      </c>
      <c r="S26" s="103">
        <v>0.39</v>
      </c>
      <c r="T26" s="103">
        <v>0.39</v>
      </c>
      <c r="U26" s="103">
        <v>0.35</v>
      </c>
      <c r="V26" s="68"/>
      <c r="W26" s="42"/>
      <c r="X26" s="42"/>
      <c r="Y26" s="42"/>
      <c r="Z26" s="42"/>
      <c r="AH26"/>
      <c r="AI26"/>
      <c r="AJ26"/>
    </row>
    <row r="27" spans="1:36" x14ac:dyDescent="0.2">
      <c r="A27" s="28"/>
      <c r="B27" s="23" t="s">
        <v>35</v>
      </c>
      <c r="C27" s="88">
        <f t="shared" si="5"/>
        <v>750</v>
      </c>
      <c r="D27" s="59">
        <f t="shared" si="6"/>
        <v>750</v>
      </c>
      <c r="E27" s="131">
        <f t="shared" si="9"/>
        <v>700</v>
      </c>
      <c r="F27" s="132">
        <f t="shared" si="2"/>
        <v>750</v>
      </c>
      <c r="G27" s="128">
        <f t="shared" si="7"/>
        <v>750</v>
      </c>
      <c r="H27" s="133">
        <f t="shared" si="3"/>
        <v>750</v>
      </c>
      <c r="I27" s="131">
        <f t="shared" si="8"/>
        <v>750</v>
      </c>
      <c r="J27" s="25">
        <f t="shared" si="4"/>
        <v>750</v>
      </c>
      <c r="K27" s="25">
        <f t="shared" si="4"/>
        <v>750</v>
      </c>
      <c r="L27" s="25">
        <f t="shared" si="4"/>
        <v>700</v>
      </c>
      <c r="M27" s="50" cm="1">
        <f t="array" ref="M27">AVERAGE((O27:U27)*$C$3)/12</f>
        <v>735.71428571428578</v>
      </c>
      <c r="N27" s="41"/>
      <c r="O27" s="103">
        <v>0.45</v>
      </c>
      <c r="P27" s="103">
        <v>0.42</v>
      </c>
      <c r="Q27" s="103">
        <v>0.45</v>
      </c>
      <c r="R27" s="103">
        <v>0.45</v>
      </c>
      <c r="S27" s="103">
        <v>0.45</v>
      </c>
      <c r="T27" s="103">
        <v>0.45</v>
      </c>
      <c r="U27" s="103">
        <v>0.42</v>
      </c>
      <c r="V27" s="68"/>
      <c r="W27" s="42"/>
      <c r="X27" s="42"/>
      <c r="Y27" s="42"/>
      <c r="Z27" s="42"/>
      <c r="AH27"/>
      <c r="AI27"/>
      <c r="AJ27"/>
    </row>
    <row r="28" spans="1:36" ht="17" thickBot="1" x14ac:dyDescent="0.25">
      <c r="A28" s="28"/>
      <c r="B28" s="24" t="s">
        <v>36</v>
      </c>
      <c r="C28" s="89">
        <f t="shared" si="5"/>
        <v>1083.3333333333333</v>
      </c>
      <c r="D28" s="26">
        <f t="shared" ref="D28" si="10">(P28*$C$3)/12</f>
        <v>1033.3333333333333</v>
      </c>
      <c r="E28" s="127">
        <f t="shared" si="9"/>
        <v>1033.3333333333333</v>
      </c>
      <c r="F28" s="134">
        <f t="shared" si="2"/>
        <v>1083.3333333333333</v>
      </c>
      <c r="G28" s="127">
        <f t="shared" si="7"/>
        <v>1083.3333333333333</v>
      </c>
      <c r="H28" s="135">
        <f t="shared" si="3"/>
        <v>1133.3333333333335</v>
      </c>
      <c r="I28" s="127">
        <f t="shared" si="8"/>
        <v>1133.3333333333335</v>
      </c>
      <c r="J28" s="26">
        <f t="shared" si="4"/>
        <v>1133.3333333333335</v>
      </c>
      <c r="K28" s="26">
        <f t="shared" si="4"/>
        <v>1083.3333333333333</v>
      </c>
      <c r="L28" s="26">
        <f t="shared" si="4"/>
        <v>1033.3333333333333</v>
      </c>
      <c r="M28" s="51" cm="1">
        <f t="array" ref="M28">AVERAGE((O28:U28)*$C$3)/12</f>
        <v>1083.3333333333333</v>
      </c>
      <c r="N28" s="41"/>
      <c r="O28" s="103">
        <v>0.65</v>
      </c>
      <c r="P28" s="103">
        <v>0.62</v>
      </c>
      <c r="Q28" s="103">
        <v>0.68</v>
      </c>
      <c r="R28" s="103">
        <v>0.65</v>
      </c>
      <c r="S28" s="103">
        <v>0.68</v>
      </c>
      <c r="T28" s="103">
        <v>0.65</v>
      </c>
      <c r="U28" s="103">
        <v>0.62</v>
      </c>
      <c r="V28" s="68"/>
      <c r="W28" s="42"/>
      <c r="X28" s="42"/>
      <c r="Y28" s="42"/>
      <c r="Z28" s="42"/>
      <c r="AH28"/>
      <c r="AI28"/>
      <c r="AJ28"/>
    </row>
    <row r="29" spans="1:36" ht="17" thickBot="1" x14ac:dyDescent="0.25">
      <c r="A29" s="28"/>
      <c r="B29" s="28"/>
      <c r="C29" s="28"/>
      <c r="D29" s="28"/>
      <c r="E29" s="28"/>
      <c r="F29" s="28"/>
      <c r="G29" s="28"/>
      <c r="H29" s="28"/>
      <c r="I29" s="28"/>
      <c r="J29" s="28"/>
      <c r="K29" s="28"/>
      <c r="L29" s="28"/>
      <c r="M29" s="44"/>
      <c r="N29" s="44"/>
      <c r="O29" s="29"/>
      <c r="P29" s="29"/>
      <c r="Q29" s="29"/>
      <c r="R29" s="29"/>
      <c r="S29" s="29"/>
      <c r="T29" s="29"/>
      <c r="U29" s="29"/>
      <c r="V29" s="68"/>
      <c r="W29" s="42"/>
      <c r="X29" s="42"/>
      <c r="Y29" s="42"/>
      <c r="Z29" s="42"/>
      <c r="AH29"/>
      <c r="AI29"/>
      <c r="AJ29"/>
    </row>
    <row r="30" spans="1:36" x14ac:dyDescent="0.2">
      <c r="A30" s="29">
        <v>12</v>
      </c>
      <c r="B30" s="5" t="s">
        <v>37</v>
      </c>
      <c r="C30" s="90">
        <f>((PMT($C$4/12,A30,$C$19*-1,Datagrundlag!L2)))</f>
        <v>11522.606209558655</v>
      </c>
      <c r="D30" s="11">
        <f>((PMT($C$4/12,A30,$D$19*-1,Datagrundlag!L$9)))</f>
        <v>10745.614880901372</v>
      </c>
      <c r="E30" s="136">
        <f>PMT($C$4/12,A30,$E$19*-1,Datagrundlag!L3)</f>
        <v>15884.967671442599</v>
      </c>
      <c r="F30" s="136">
        <f>PMT($C$4/12,A30,$F$19*-1,Datagrundlag!L5)</f>
        <v>14231.681259530314</v>
      </c>
      <c r="G30" s="136">
        <f>PMT($C$4/12,A30,$G$19*-1,Datagrundlag!L$8)</f>
        <v>13614.019979408482</v>
      </c>
      <c r="H30" s="136">
        <f>PMT($C$4/12,A30,H19*-1,Datagrundlag!L4)</f>
        <v>11224.654578385574</v>
      </c>
      <c r="I30" s="136">
        <f>PMT($C$4/12,A30,$I$19*-1,Datagrundlag!L10)</f>
        <v>9584.7297692260745</v>
      </c>
      <c r="J30" s="11">
        <f>PMT($C$4/12,A30,$J$19*-1,Datagrundlag!L6)</f>
        <v>13054.427175298362</v>
      </c>
      <c r="K30" s="100">
        <f>PMT($C$4/12,A30,$K$19*-1,Datagrundlag!L7)</f>
        <v>11603.724459503419</v>
      </c>
      <c r="L30" s="100">
        <f>PMT($C$4/12,A30,$L$19*-1,Datagrundlag!L11)</f>
        <v>15862.261020238851</v>
      </c>
      <c r="M30" s="104">
        <f>PMT($C$4/12,A30,$M$19*-1,Datagrundlag!L8)</f>
        <v>21391.934832266015</v>
      </c>
      <c r="N30" s="43"/>
      <c r="O30" s="44"/>
      <c r="P30" s="44"/>
      <c r="Q30" s="44"/>
      <c r="R30" s="44"/>
      <c r="S30" s="44"/>
      <c r="T30" s="44"/>
      <c r="U30" s="44"/>
      <c r="V30" s="42"/>
      <c r="W30" s="42"/>
      <c r="X30" s="42"/>
      <c r="Y30" s="42"/>
      <c r="Z30" s="42"/>
      <c r="AH30"/>
      <c r="AI30"/>
      <c r="AJ30"/>
    </row>
    <row r="31" spans="1:36" x14ac:dyDescent="0.2">
      <c r="A31" s="29">
        <v>24</v>
      </c>
      <c r="B31" s="12" t="s">
        <v>38</v>
      </c>
      <c r="C31" s="91">
        <f>PMT($C$4/12,A31,$C$19*-1,Datagrundlag!M2)</f>
        <v>8552.9130465698727</v>
      </c>
      <c r="D31" s="7">
        <f>((PMT($C$4/12,A31,$D$19*-1,Datagrundlag!M$9)))</f>
        <v>7976.1737958236581</v>
      </c>
      <c r="E31" s="131">
        <f>PMT($C$4/12,A31,$E$19*-1,Datagrundlag!M3)</f>
        <v>11790.973740707743</v>
      </c>
      <c r="F31" s="131">
        <f>PMT($C$4/12,A31,$F$19*-1,Datagrundlag!M5)</f>
        <v>10563.78479881446</v>
      </c>
      <c r="G31" s="131">
        <f>PMT($C$4/12,A31,$G$19*-1,Datagrundlag!M$8)</f>
        <v>10105.311852239864</v>
      </c>
      <c r="H31" s="131">
        <f>PMT($C$4/12,A31,$H$19*-1,Datagrundlag!M4)</f>
        <v>8331.7517617736448</v>
      </c>
      <c r="I31" s="131">
        <f>PMT($C$4/12,A31,$I$19*-1,Datagrundlag!M10)</f>
        <v>7114.480769381451</v>
      </c>
      <c r="J31" s="7">
        <f>PMT($C$4/12,A31,$J$19*-1,Datagrundlag!M6)</f>
        <v>9689.9415351435728</v>
      </c>
      <c r="K31" s="101">
        <f>PMT($C$4/12,A31,$K$19*-1,Datagrundlag!M7)</f>
        <v>8613.1248880274015</v>
      </c>
      <c r="L31" s="101">
        <f>PMT($C$4/12,A31,$L$19*-1,Datagrundlag!M11)</f>
        <v>11774.119219274618</v>
      </c>
      <c r="M31" s="105">
        <f>PMT($C$4/12,A31,$M$19*-1,Datagrundlag!L9)</f>
        <v>15341.315375194661</v>
      </c>
      <c r="N31" s="43"/>
      <c r="O31" s="44"/>
      <c r="P31" s="44"/>
      <c r="Q31" s="44"/>
      <c r="R31" s="44"/>
      <c r="S31" s="44"/>
      <c r="T31" s="44"/>
      <c r="U31" s="44"/>
      <c r="V31" s="42"/>
      <c r="W31" s="42"/>
      <c r="X31" s="42"/>
      <c r="Y31" s="42"/>
      <c r="Z31" s="42"/>
      <c r="AH31"/>
      <c r="AI31"/>
      <c r="AJ31"/>
    </row>
    <row r="32" spans="1:36" x14ac:dyDescent="0.2">
      <c r="A32" s="29">
        <v>36</v>
      </c>
      <c r="B32" s="12" t="s">
        <v>39</v>
      </c>
      <c r="C32" s="91">
        <f>PMT($C$4/12,A32,$C$19*-1,Datagrundlag!N2)</f>
        <v>7028.3609188652945</v>
      </c>
      <c r="D32" s="7">
        <f>((PMT($C$4/12,A32,$D$19*-1,Datagrundlag!N$9)))</f>
        <v>6554.4251278372303</v>
      </c>
      <c r="E32" s="131">
        <f>PMT($C$4/12,A32,$E$19*-1,Datagrundlag!N3)</f>
        <v>9689.2390444437588</v>
      </c>
      <c r="F32" s="131">
        <f>PMT($C$4/12,A32,$F$19*-1,Datagrundlag!N5)</f>
        <v>8680.7958681477612</v>
      </c>
      <c r="G32" s="131">
        <f>PMT($C$4/12,A32,$G$19*-1,Datagrundlag!N$8)</f>
        <v>8304.0454764956194</v>
      </c>
      <c r="H32" s="131">
        <f>PMT($C$4/12,A32,$H$19*-1,Datagrundlag!N4)</f>
        <v>6846.6215135463972</v>
      </c>
      <c r="I32" s="131">
        <f>PMT($C$4/12,A32,$I$19*-1,Datagrundlag!N10)</f>
        <v>5846.3284176135685</v>
      </c>
      <c r="J32" s="7">
        <f>PMT($C$4/12,A32,$J$19*-1,Datagrundlag!N6)</f>
        <v>7962.7146939142331</v>
      </c>
      <c r="K32" s="101">
        <f>PMT($C$4/12,A32,$K$19*-1,Datagrundlag!N7)</f>
        <v>7077.8400321274976</v>
      </c>
      <c r="L32" s="101">
        <f>PMT($C$4/12,A32,$L$19*-1,Datagrundlag!N11)</f>
        <v>9675.388832346227</v>
      </c>
      <c r="M32" s="105">
        <f>PMT($C$4/12,A32,$M$19*-1,Datagrundlag!L10)</f>
        <v>11902.787268443568</v>
      </c>
      <c r="N32" s="43"/>
      <c r="O32" s="44"/>
      <c r="P32" s="44"/>
      <c r="Q32" s="44"/>
      <c r="R32" s="44"/>
      <c r="S32" s="44"/>
      <c r="T32" s="44"/>
      <c r="U32" s="44"/>
      <c r="V32" s="42"/>
      <c r="W32" s="42"/>
      <c r="X32" s="42"/>
      <c r="Y32" s="42"/>
      <c r="Z32" s="42"/>
      <c r="AH32"/>
      <c r="AI32"/>
      <c r="AJ32"/>
    </row>
    <row r="33" spans="1:36" x14ac:dyDescent="0.2">
      <c r="A33" s="29">
        <v>48</v>
      </c>
      <c r="B33" s="12" t="s">
        <v>40</v>
      </c>
      <c r="C33" s="91">
        <f>PMT($C$4/12,A33,$C$19*-1,Datagrundlag!O2)</f>
        <v>6489.9451048947867</v>
      </c>
      <c r="D33" s="7">
        <f>((PMT($C$4/12,A33,$D$19*-1,Datagrundlag!O$9)))</f>
        <v>6052.3157198185281</v>
      </c>
      <c r="E33" s="131">
        <f>PMT($C$4/12,A33,$E$19*-1,Datagrundlag!O3)</f>
        <v>8946.9835474521133</v>
      </c>
      <c r="F33" s="131">
        <f>PMT($C$4/12,A33,$F$19*-1,Datagrundlag!O5)</f>
        <v>8015.7933409276329</v>
      </c>
      <c r="G33" s="131">
        <f>PMT($C$4/12,A33,$G$19*-1,Datagrundlag!O$8)</f>
        <v>7667.9043539652566</v>
      </c>
      <c r="H33" s="131">
        <f>PMT($C$4/12,A33,$H$19*-1,Datagrundlag!O4)</f>
        <v>6322.1280594226419</v>
      </c>
      <c r="I33" s="131">
        <f>PMT($C$4/12,A33,$I$19*-1,Datagrundlag!O10)</f>
        <v>5398.4635868165014</v>
      </c>
      <c r="J33" s="7">
        <f>PMT($C$4/12,A33,$J$19*-1,Datagrundlag!O6)</f>
        <v>7352.7216154667303</v>
      </c>
      <c r="K33" s="101">
        <f>PMT($C$4/12,A33,$K$19*-1,Datagrundlag!O7)</f>
        <v>6535.633812776683</v>
      </c>
      <c r="L33" s="101">
        <f>PMT($C$4/12,A33,$L$19*-1,Datagrundlag!O11)</f>
        <v>8934.1943470621845</v>
      </c>
      <c r="M33" s="105">
        <f>PMT($C$4/12,A33,$M$19*-1,Datagrundlag!L12)</f>
        <v>6546.9490491939241</v>
      </c>
      <c r="N33" s="43"/>
      <c r="O33" s="44"/>
      <c r="P33" s="44"/>
      <c r="Q33" s="44"/>
      <c r="R33" s="44"/>
      <c r="S33" s="44"/>
      <c r="T33" s="44"/>
      <c r="U33" s="44"/>
      <c r="V33" s="42"/>
      <c r="W33" s="42"/>
      <c r="X33" s="42"/>
      <c r="Y33" s="42"/>
      <c r="Z33" s="42"/>
      <c r="AH33"/>
      <c r="AI33"/>
      <c r="AJ33"/>
    </row>
    <row r="34" spans="1:36" x14ac:dyDescent="0.2">
      <c r="A34" s="29">
        <v>60</v>
      </c>
      <c r="B34" s="12" t="s">
        <v>41</v>
      </c>
      <c r="C34" s="91">
        <f>PMT($C$4/12,A34,$C$19*-1,Datagrundlag!P2)</f>
        <v>6590.3850193625503</v>
      </c>
      <c r="D34" s="7">
        <f>((PMT($C$4/12,A34,$D$19*-1,Datagrundlag!P$9)))</f>
        <v>6145.9827791549769</v>
      </c>
      <c r="E34" s="131">
        <f>PMT($C$4/12,A34,$E$19*-1,Datagrundlag!P3)</f>
        <v>9085.4491658396746</v>
      </c>
      <c r="F34" s="131">
        <f>PMT($C$4/12,A34,$F$19*-1,Datagrundlag!P5)</f>
        <v>8139.8476410089716</v>
      </c>
      <c r="G34" s="131">
        <f>PMT($C$4/12,A34,$G$19*-1,Datagrundlag!P$8)</f>
        <v>7786.5746423900991</v>
      </c>
      <c r="H34" s="131">
        <f>PMT($C$4/12,A34,$H$19*-1,Datagrundlag!P4)</f>
        <v>6419.9707978864435</v>
      </c>
      <c r="I34" s="131">
        <f>PMT($C$4/12,A34,$I$19*-1,Datagrundlag!P10)</f>
        <v>5482.0114769994616</v>
      </c>
      <c r="J34" s="7">
        <f>PMT($C$4/12,A34,$J$19*-1,Datagrundlag!P6)</f>
        <v>7466.5140618166633</v>
      </c>
      <c r="K34" s="101">
        <f>PMT($C$4/12,A34,$K$19*-1,Datagrundlag!P7)</f>
        <v>6636.7808164166399</v>
      </c>
      <c r="L34" s="101">
        <f>PMT($C$4/12,A34,$L$19*-1,Datagrundlag!P11)</f>
        <v>9072.4620367812386</v>
      </c>
      <c r="M34" s="105">
        <f>PMT($C$4/12,A34,$M$19*-1,Datagrundlag!L13)</f>
        <v>12165.02324379486</v>
      </c>
      <c r="N34" s="43"/>
      <c r="O34" s="44"/>
      <c r="P34" s="44"/>
      <c r="Q34" s="44"/>
      <c r="R34" s="44"/>
      <c r="S34" s="44"/>
      <c r="T34" s="44"/>
      <c r="U34" s="44"/>
      <c r="V34" s="42"/>
      <c r="W34" s="42"/>
      <c r="X34" s="42"/>
      <c r="Y34" s="42"/>
      <c r="Z34" s="42"/>
      <c r="AH34"/>
      <c r="AI34"/>
      <c r="AJ34"/>
    </row>
    <row r="35" spans="1:36" x14ac:dyDescent="0.2">
      <c r="A35" s="29">
        <v>72</v>
      </c>
      <c r="B35" s="12" t="s">
        <v>42</v>
      </c>
      <c r="C35" s="91">
        <f>PMT($C$4/12,A35,$C$19*-1,Datagrundlag!Q2)</f>
        <v>6499.4815273759914</v>
      </c>
      <c r="D35" s="7">
        <f>((PMT($C$4/12,A35,$D$19*-1,Datagrundlag!Q$9)))</f>
        <v>6061.2090831306914</v>
      </c>
      <c r="E35" s="131">
        <f>PMT($C$4/12,A35,$E$19*-1,Datagrundlag!Q3)</f>
        <v>8960.1303789987378</v>
      </c>
      <c r="F35" s="131">
        <f>PMT($C$4/12,A35,$F$19*-1,Datagrundlag!Q5)</f>
        <v>8027.5718676463657</v>
      </c>
      <c r="G35" s="131">
        <f>PMT($C$4/12,A35,$G$19*-1,Datagrundlag!Q$8)</f>
        <v>7679.1716873992063</v>
      </c>
      <c r="H35" s="131">
        <f>PMT($C$4/12,A35,$H$19*-1,Datagrundlag!Q4)</f>
        <v>6331.417889025277</v>
      </c>
      <c r="I35" s="131">
        <f>PMT($C$4/12,A35,$I$19*-1,Datagrundlag!Q10)</f>
        <v>5406.396170017314</v>
      </c>
      <c r="J35" s="7">
        <f>PMT($C$4/12,A35,$J$19*-1,Datagrundlag!Q6)</f>
        <v>7363.5258146669494</v>
      </c>
      <c r="K35" s="101">
        <f>PMT($C$4/12,A35,$K$19*-1,Datagrundlag!Q7)</f>
        <v>6545.2373709291351</v>
      </c>
      <c r="L35" s="101">
        <f>PMT($C$4/12,A35,$L$19*-1,Datagrundlag!Q11)</f>
        <v>8947.3223859663194</v>
      </c>
      <c r="M35" s="105">
        <f>PMT($C$4/12,A35,$M$19*-1,Datagrundlag!L14)</f>
        <v>10426.056403365714</v>
      </c>
      <c r="N35" s="43"/>
      <c r="O35" s="44"/>
      <c r="P35" s="44"/>
      <c r="Q35" s="44"/>
      <c r="R35" s="44"/>
      <c r="S35" s="44"/>
      <c r="T35" s="44"/>
      <c r="U35" s="44"/>
      <c r="V35" s="42"/>
      <c r="W35" s="42"/>
      <c r="X35" s="42"/>
      <c r="Y35" s="42"/>
      <c r="Z35" s="42"/>
      <c r="AH35"/>
      <c r="AI35"/>
      <c r="AJ35"/>
    </row>
    <row r="36" spans="1:36" ht="17" thickBot="1" x14ac:dyDescent="0.25">
      <c r="A36" s="29">
        <v>84</v>
      </c>
      <c r="B36" s="6" t="s">
        <v>43</v>
      </c>
      <c r="C36" s="92">
        <f>PMT($C$4/12,A36,$C$19*-1,Datagrundlag!R2)</f>
        <v>6441.1048961350043</v>
      </c>
      <c r="D36" s="10">
        <f>((PMT($C$4/12,A36,$D$19*-1,Datagrundlag!R$9)))</f>
        <v>6006.7688995514181</v>
      </c>
      <c r="E36" s="127">
        <f>PMT($C$4/12,A36,$E$19*-1,Datagrundlag!R3)</f>
        <v>8879.6528478598575</v>
      </c>
      <c r="F36" s="127">
        <f>PMT($C$4/12,A36,$F$19*-1,Datagrundlag!R5)</f>
        <v>7955.4703314385524</v>
      </c>
      <c r="G36" s="127">
        <f>PMT($C$4/12,A36,$G$19*-1,Datagrundlag!R$8)</f>
        <v>7610.1993898484943</v>
      </c>
      <c r="H36" s="127">
        <f>PMT($C$4/12,A36,$H$19*-1,Datagrundlag!R4)</f>
        <v>6274.5507611192397</v>
      </c>
      <c r="I36" s="127">
        <f>PMT($C$4/12,A36,$I$19*-1,Datagrundlag!R10)</f>
        <v>5357.8373435585499</v>
      </c>
      <c r="J36" s="10">
        <f>PMT($C$4/12,A36,$J$19*-1,Datagrundlag!R6)</f>
        <v>7297.3885652100926</v>
      </c>
      <c r="K36" s="102">
        <f>PMT($C$4/12,A36,$K$19*-1,Datagrundlag!R7)</f>
        <v>6486.4497727525595</v>
      </c>
      <c r="L36" s="102">
        <f>PMT($C$4/12,A36,$L$19*-1,Datagrundlag!R11)</f>
        <v>8866.9598928474788</v>
      </c>
      <c r="M36" s="106">
        <f>PMT($C$4/12,A36,$M$19*-1,Datagrundlag!L15)</f>
        <v>9188.2957985948833</v>
      </c>
      <c r="N36" s="43"/>
      <c r="O36" s="44"/>
      <c r="P36" s="44"/>
      <c r="Q36" s="44"/>
      <c r="R36" s="44"/>
      <c r="S36" s="44"/>
      <c r="T36" s="44"/>
      <c r="U36" s="44"/>
      <c r="V36" s="42"/>
      <c r="W36" s="42"/>
      <c r="X36" s="42"/>
      <c r="Y36" s="42"/>
      <c r="Z36" s="42"/>
      <c r="AH36"/>
      <c r="AI36"/>
      <c r="AJ36"/>
    </row>
    <row r="37" spans="1:36" ht="17" thickBot="1" x14ac:dyDescent="0.25">
      <c r="A37" s="28"/>
      <c r="B37" s="28"/>
      <c r="C37" s="28"/>
      <c r="D37" s="28"/>
      <c r="E37" s="28"/>
      <c r="F37" s="28"/>
      <c r="G37" s="28"/>
      <c r="H37" s="28"/>
      <c r="I37" s="28"/>
      <c r="J37" s="28"/>
      <c r="K37" s="28"/>
      <c r="L37" s="28"/>
      <c r="M37" s="44"/>
      <c r="N37" s="44"/>
      <c r="O37" s="44"/>
      <c r="P37" s="44"/>
      <c r="Q37" s="44"/>
      <c r="R37" s="44"/>
      <c r="S37" s="44"/>
      <c r="T37" s="44"/>
      <c r="U37" s="44"/>
      <c r="V37" s="42"/>
      <c r="W37" s="42"/>
      <c r="X37" s="42"/>
      <c r="Y37" s="42"/>
      <c r="Z37" s="42"/>
      <c r="AH37"/>
      <c r="AI37"/>
      <c r="AJ37"/>
    </row>
    <row r="38" spans="1:36" x14ac:dyDescent="0.2">
      <c r="A38" s="28"/>
      <c r="B38" s="22" t="s">
        <v>44</v>
      </c>
      <c r="C38" s="85">
        <f t="shared" ref="C38:D44" si="11">C30+$C$20+($C$21/12)+C22</f>
        <v>12944.210570929372</v>
      </c>
      <c r="D38" s="9">
        <f t="shared" si="11"/>
        <v>12167.219242272089</v>
      </c>
      <c r="E38" s="9">
        <f t="shared" ref="E38:E44" si="12">E30+$E$20+($C$21/12)+E22</f>
        <v>17232.332203462302</v>
      </c>
      <c r="F38" s="9">
        <f t="shared" ref="F38:G44" si="13">F30+$F$20+($C$21/12)+F22</f>
        <v>15470.924957009307</v>
      </c>
      <c r="G38" s="9">
        <f t="shared" si="13"/>
        <v>14853.263676887475</v>
      </c>
      <c r="H38" s="9">
        <f t="shared" ref="H38:I44" si="14">H30+$H$20+($C$21/12)+H22</f>
        <v>12281.312284478765</v>
      </c>
      <c r="I38" s="9">
        <f t="shared" si="14"/>
        <v>10641.387475319265</v>
      </c>
      <c r="J38" s="9">
        <f t="shared" ref="J38:J44" si="15">J30+$J$20+($C$21/12)+J22</f>
        <v>14204.624915411358</v>
      </c>
      <c r="K38" s="9">
        <f t="shared" ref="K38:K44" si="16">K30+$K$20+($C$21/12)+K22</f>
        <v>12995.44926570497</v>
      </c>
      <c r="L38" s="9">
        <f t="shared" ref="L38" si="17">L30+$K$20+($C$21/12)+L22</f>
        <v>17253.985826440399</v>
      </c>
      <c r="M38" s="97">
        <f>+M30+M22+($M$21/12)+$M$20</f>
        <v>22687.244909785393</v>
      </c>
      <c r="N38" s="45"/>
      <c r="O38" s="44"/>
      <c r="P38" s="44"/>
      <c r="Q38" s="44"/>
      <c r="R38" s="44"/>
      <c r="S38" s="44"/>
      <c r="T38" s="44"/>
      <c r="U38" s="44"/>
      <c r="V38" s="42"/>
      <c r="W38" s="42"/>
      <c r="X38" s="42"/>
      <c r="Y38" s="42"/>
      <c r="Z38" s="42"/>
      <c r="AH38"/>
      <c r="AI38"/>
      <c r="AJ38"/>
    </row>
    <row r="39" spans="1:36" x14ac:dyDescent="0.2">
      <c r="A39" s="28"/>
      <c r="B39" s="23" t="s">
        <v>45</v>
      </c>
      <c r="C39" s="86">
        <f t="shared" si="11"/>
        <v>10141.184074607256</v>
      </c>
      <c r="D39" s="8">
        <f t="shared" ref="D39" si="18">D31+$C$20+($C$21/12)+D23</f>
        <v>9564.4448238610421</v>
      </c>
      <c r="E39" s="8">
        <f t="shared" si="12"/>
        <v>13255.004939394114</v>
      </c>
      <c r="F39" s="8">
        <f t="shared" si="13"/>
        <v>11853.028496293453</v>
      </c>
      <c r="G39" s="8">
        <f t="shared" si="13"/>
        <v>11394.555549718856</v>
      </c>
      <c r="H39" s="8">
        <f t="shared" si="14"/>
        <v>9438.4094678668353</v>
      </c>
      <c r="I39" s="8">
        <f t="shared" si="14"/>
        <v>8221.1384754746414</v>
      </c>
      <c r="J39" s="8">
        <f t="shared" si="15"/>
        <v>10890.139275256568</v>
      </c>
      <c r="K39" s="8">
        <f t="shared" si="16"/>
        <v>10054.849694228953</v>
      </c>
      <c r="L39" s="8">
        <f t="shared" ref="L39" si="19">L31+$K$20+($C$21/12)+L23</f>
        <v>13215.84402547617</v>
      </c>
      <c r="M39" s="98">
        <f t="shared" ref="M39:M44" si="20">+M31+M23+($M$21/12)+$M$20</f>
        <v>16712.815928904518</v>
      </c>
      <c r="N39" s="32"/>
      <c r="O39" s="28"/>
      <c r="P39" s="28"/>
      <c r="Q39" s="28"/>
      <c r="R39" s="28"/>
      <c r="S39" s="28"/>
      <c r="T39" s="28"/>
      <c r="U39" s="28"/>
      <c r="AH39"/>
      <c r="AI39"/>
      <c r="AJ39"/>
    </row>
    <row r="40" spans="1:36" x14ac:dyDescent="0.2">
      <c r="A40" s="28"/>
      <c r="B40" s="23" t="s">
        <v>46</v>
      </c>
      <c r="C40" s="86">
        <f t="shared" si="11"/>
        <v>8733.2986135693445</v>
      </c>
      <c r="D40" s="8">
        <f t="shared" ref="D40" si="21">D32+$C$20+($C$21/12)+D24</f>
        <v>8259.3628225412795</v>
      </c>
      <c r="E40" s="8">
        <f t="shared" si="12"/>
        <v>11253.27024313013</v>
      </c>
      <c r="F40" s="8">
        <f t="shared" si="13"/>
        <v>10203.372898960086</v>
      </c>
      <c r="G40" s="8">
        <f t="shared" si="13"/>
        <v>9826.622507307944</v>
      </c>
      <c r="H40" s="8">
        <f t="shared" si="14"/>
        <v>8186.6125529729206</v>
      </c>
      <c r="I40" s="8">
        <f t="shared" si="14"/>
        <v>7186.3194570400919</v>
      </c>
      <c r="J40" s="8">
        <f t="shared" si="15"/>
        <v>9396.2457673605604</v>
      </c>
      <c r="K40" s="8">
        <f t="shared" si="16"/>
        <v>8752.8981716623803</v>
      </c>
      <c r="L40" s="8">
        <f t="shared" ref="L40" si="22">L32+$K$20+($C$21/12)+L24</f>
        <v>11383.780305214445</v>
      </c>
      <c r="M40" s="98">
        <f t="shared" si="20"/>
        <v>13476.668774534375</v>
      </c>
      <c r="N40" s="32"/>
      <c r="O40" s="28"/>
      <c r="P40" s="28"/>
      <c r="Q40" s="28"/>
      <c r="R40" s="28"/>
      <c r="S40" s="28"/>
      <c r="T40" s="28"/>
      <c r="U40" s="28"/>
      <c r="AH40"/>
      <c r="AI40"/>
      <c r="AJ40"/>
    </row>
    <row r="41" spans="1:36" x14ac:dyDescent="0.2">
      <c r="A41" s="28"/>
      <c r="B41" s="23" t="s">
        <v>47</v>
      </c>
      <c r="C41" s="86">
        <f t="shared" si="11"/>
        <v>8361.5494662655037</v>
      </c>
      <c r="D41" s="8">
        <f t="shared" ref="D41" si="23">D33+$C$20+($C$21/12)+D25</f>
        <v>7923.9200811892442</v>
      </c>
      <c r="E41" s="8">
        <f t="shared" si="12"/>
        <v>10661.014746138484</v>
      </c>
      <c r="F41" s="8">
        <f t="shared" si="13"/>
        <v>9705.0370384066246</v>
      </c>
      <c r="G41" s="8">
        <f t="shared" si="13"/>
        <v>9357.1480514442483</v>
      </c>
      <c r="H41" s="8">
        <f t="shared" si="14"/>
        <v>7828.7857655158314</v>
      </c>
      <c r="I41" s="8">
        <f t="shared" si="14"/>
        <v>6905.121292909691</v>
      </c>
      <c r="J41" s="8">
        <f t="shared" si="15"/>
        <v>8952.9193555797247</v>
      </c>
      <c r="K41" s="8">
        <f t="shared" si="16"/>
        <v>8377.3586189782345</v>
      </c>
      <c r="L41" s="8">
        <f t="shared" ref="L41" si="24">L33+$K$20+($C$21/12)+L25</f>
        <v>10692.585819930402</v>
      </c>
      <c r="M41" s="98">
        <f t="shared" si="20"/>
        <v>8268.44960290378</v>
      </c>
      <c r="N41" s="32"/>
      <c r="O41" s="28"/>
      <c r="P41" s="28"/>
      <c r="Q41" s="28"/>
      <c r="R41" s="28"/>
      <c r="S41" s="28"/>
      <c r="T41" s="28"/>
      <c r="U41" s="28"/>
      <c r="AH41"/>
      <c r="AI41"/>
      <c r="AJ41"/>
    </row>
    <row r="42" spans="1:36" x14ac:dyDescent="0.2">
      <c r="A42" s="28"/>
      <c r="B42" s="23" t="s">
        <v>48</v>
      </c>
      <c r="C42" s="86">
        <f t="shared" si="11"/>
        <v>8561.9893807332664</v>
      </c>
      <c r="D42" s="8">
        <f t="shared" ref="D42" si="25">D34+$C$20+($C$21/12)+D26</f>
        <v>8117.587140525693</v>
      </c>
      <c r="E42" s="8">
        <f t="shared" si="12"/>
        <v>10932.813697859379</v>
      </c>
      <c r="F42" s="8">
        <f t="shared" si="13"/>
        <v>9929.0913384879641</v>
      </c>
      <c r="G42" s="8">
        <f t="shared" si="13"/>
        <v>9575.8183398690908</v>
      </c>
      <c r="H42" s="8">
        <f t="shared" si="14"/>
        <v>8043.2951706463</v>
      </c>
      <c r="I42" s="8">
        <f t="shared" si="14"/>
        <v>7105.3358497593181</v>
      </c>
      <c r="J42" s="8">
        <f t="shared" si="15"/>
        <v>9183.3784685963237</v>
      </c>
      <c r="K42" s="8">
        <f t="shared" si="16"/>
        <v>8595.1722892848575</v>
      </c>
      <c r="L42" s="8">
        <f t="shared" ref="L42" si="26">L34+$K$20+($C$21/12)+L26</f>
        <v>10964.18684298279</v>
      </c>
      <c r="M42" s="98">
        <f t="shared" si="20"/>
        <v>14003.190464171383</v>
      </c>
      <c r="N42" s="32"/>
      <c r="O42" s="28"/>
      <c r="P42" s="28"/>
      <c r="Q42" s="28"/>
      <c r="R42" s="28"/>
      <c r="S42" s="28"/>
      <c r="T42" s="28"/>
      <c r="U42" s="28"/>
      <c r="AH42"/>
      <c r="AI42"/>
      <c r="AJ42"/>
    </row>
    <row r="43" spans="1:36" x14ac:dyDescent="0.2">
      <c r="A43" s="28"/>
      <c r="B43" s="23" t="s">
        <v>49</v>
      </c>
      <c r="C43" s="86">
        <f t="shared" si="11"/>
        <v>8587.7525554133754</v>
      </c>
      <c r="D43" s="8">
        <f t="shared" ref="D43" si="27">D35+$C$20+($C$21/12)+D27</f>
        <v>8149.4801111680745</v>
      </c>
      <c r="E43" s="8">
        <f t="shared" si="12"/>
        <v>10924.161577685109</v>
      </c>
      <c r="F43" s="8">
        <f t="shared" si="13"/>
        <v>9933.4822317920243</v>
      </c>
      <c r="G43" s="8">
        <f t="shared" si="13"/>
        <v>9585.082051544865</v>
      </c>
      <c r="H43" s="8">
        <f t="shared" si="14"/>
        <v>8054.7422617851335</v>
      </c>
      <c r="I43" s="8">
        <f t="shared" si="14"/>
        <v>7129.7205427771705</v>
      </c>
      <c r="J43" s="8">
        <f t="shared" si="15"/>
        <v>9180.3902214466107</v>
      </c>
      <c r="K43" s="8">
        <f t="shared" si="16"/>
        <v>8603.6288437973526</v>
      </c>
      <c r="L43" s="8">
        <f t="shared" ref="L43" si="28">L35+$K$20+($C$21/12)+L27</f>
        <v>10955.713858834537</v>
      </c>
      <c r="M43" s="98">
        <f t="shared" si="20"/>
        <v>12373.747433266046</v>
      </c>
      <c r="N43" s="32"/>
      <c r="O43" s="28"/>
      <c r="P43" s="28"/>
      <c r="Q43" s="28"/>
      <c r="R43" s="28"/>
      <c r="S43" s="28"/>
      <c r="T43" s="28"/>
      <c r="U43" s="28"/>
      <c r="AH43"/>
      <c r="AI43"/>
      <c r="AJ43"/>
    </row>
    <row r="44" spans="1:36" ht="17" thickBot="1" x14ac:dyDescent="0.25">
      <c r="A44" s="28"/>
      <c r="B44" s="24" t="s">
        <v>50</v>
      </c>
      <c r="C44" s="87">
        <f t="shared" si="11"/>
        <v>8862.7092575057213</v>
      </c>
      <c r="D44" s="14">
        <f t="shared" ref="D44" si="29">D36+$C$20+($C$21/12)+D28</f>
        <v>8378.3732609221352</v>
      </c>
      <c r="E44" s="14">
        <f t="shared" si="12"/>
        <v>11177.017379879562</v>
      </c>
      <c r="F44" s="14">
        <f t="shared" si="13"/>
        <v>10194.714028917544</v>
      </c>
      <c r="G44" s="14">
        <f t="shared" si="13"/>
        <v>9849.4430873274869</v>
      </c>
      <c r="H44" s="14">
        <f t="shared" si="14"/>
        <v>8381.2084672124292</v>
      </c>
      <c r="I44" s="14">
        <f t="shared" si="14"/>
        <v>7464.4950496517395</v>
      </c>
      <c r="J44" s="14">
        <f t="shared" si="15"/>
        <v>9497.5863053230878</v>
      </c>
      <c r="K44" s="14">
        <f t="shared" si="16"/>
        <v>8878.174578954111</v>
      </c>
      <c r="L44" s="14">
        <f t="shared" ref="L44" si="30">L36+$K$20+($C$21/12)+L28</f>
        <v>11208.68469904903</v>
      </c>
      <c r="M44" s="99">
        <f t="shared" si="20"/>
        <v>11483.605876114263</v>
      </c>
      <c r="N44" s="32"/>
      <c r="O44" s="28"/>
      <c r="P44" s="28"/>
      <c r="Q44" s="28"/>
      <c r="R44" s="28"/>
      <c r="S44" s="28"/>
      <c r="T44" s="28"/>
      <c r="U44" s="28"/>
      <c r="AH44"/>
      <c r="AI44"/>
      <c r="AJ44"/>
    </row>
    <row r="45" spans="1:36" x14ac:dyDescent="0.2">
      <c r="A45" s="28"/>
      <c r="B45" s="28"/>
      <c r="C45" s="28"/>
      <c r="D45" s="28"/>
      <c r="E45" s="28"/>
      <c r="F45" s="28"/>
      <c r="G45" s="28"/>
      <c r="H45" s="28"/>
      <c r="I45" s="28"/>
      <c r="J45" s="28"/>
      <c r="K45" s="28"/>
      <c r="L45" s="28"/>
      <c r="M45" s="28"/>
      <c r="N45" s="28"/>
      <c r="O45" s="28"/>
      <c r="P45" s="28"/>
      <c r="Q45" s="28"/>
      <c r="R45" s="28"/>
      <c r="S45" s="28"/>
      <c r="T45" s="28"/>
      <c r="U45" s="28"/>
    </row>
    <row r="46" spans="1:36" x14ac:dyDescent="0.2">
      <c r="A46" s="28"/>
      <c r="B46" s="28"/>
      <c r="C46" s="28"/>
      <c r="D46" s="28"/>
      <c r="E46" s="28"/>
      <c r="F46" s="28"/>
      <c r="G46" s="28"/>
      <c r="H46" s="28"/>
      <c r="I46" s="28"/>
      <c r="J46" s="28"/>
      <c r="K46" s="28"/>
      <c r="L46" s="28"/>
      <c r="M46" s="28"/>
      <c r="N46" s="28"/>
      <c r="O46" s="28"/>
      <c r="P46" s="28"/>
      <c r="Q46" s="28"/>
      <c r="R46" s="28"/>
      <c r="S46" s="28"/>
      <c r="T46" s="28"/>
      <c r="U46" s="28"/>
    </row>
    <row r="47" spans="1:36" x14ac:dyDescent="0.2">
      <c r="A47" s="28"/>
      <c r="B47" s="28"/>
      <c r="C47" s="28"/>
      <c r="D47" s="28"/>
      <c r="E47" s="28"/>
      <c r="F47" s="28"/>
      <c r="G47" s="28"/>
      <c r="H47" s="28"/>
      <c r="I47" s="28"/>
      <c r="J47" s="28"/>
      <c r="K47" s="28"/>
      <c r="L47" s="28"/>
      <c r="M47" s="28"/>
      <c r="N47" s="28"/>
      <c r="O47" s="28"/>
      <c r="P47" s="28"/>
      <c r="Q47" s="28"/>
      <c r="R47" s="28"/>
      <c r="S47" s="28"/>
      <c r="T47" s="28"/>
      <c r="U47" s="28"/>
    </row>
    <row r="48" spans="1:36" ht="17" thickBot="1" x14ac:dyDescent="0.25">
      <c r="A48" s="28"/>
      <c r="B48" s="28"/>
      <c r="C48" s="28"/>
      <c r="D48" s="28"/>
      <c r="E48" s="28"/>
      <c r="F48" s="28"/>
      <c r="G48" s="28"/>
      <c r="H48" s="28"/>
      <c r="I48" s="28"/>
      <c r="J48" s="28"/>
      <c r="K48" s="28"/>
      <c r="L48" s="28"/>
      <c r="M48" s="28"/>
      <c r="N48" s="28"/>
      <c r="O48" s="28"/>
      <c r="P48" s="28"/>
      <c r="Q48" s="28"/>
      <c r="R48" s="28"/>
      <c r="S48" s="28"/>
      <c r="T48" s="28"/>
      <c r="U48" s="28"/>
    </row>
    <row r="49" spans="1:21" x14ac:dyDescent="0.2">
      <c r="A49" s="28"/>
      <c r="B49" s="69"/>
      <c r="C49" s="147" t="s">
        <v>67</v>
      </c>
      <c r="D49" s="147"/>
      <c r="E49" s="147"/>
      <c r="F49" s="147"/>
      <c r="G49" s="147"/>
      <c r="H49" s="147"/>
      <c r="I49" s="147"/>
      <c r="J49" s="147"/>
      <c r="K49" s="148"/>
      <c r="L49" s="109"/>
      <c r="M49" s="76"/>
      <c r="N49" s="28"/>
      <c r="O49" s="28"/>
      <c r="P49" s="28"/>
      <c r="Q49" s="28"/>
      <c r="R49" s="28"/>
      <c r="S49" s="28"/>
      <c r="T49" s="28"/>
      <c r="U49" s="28"/>
    </row>
    <row r="50" spans="1:21" x14ac:dyDescent="0.2">
      <c r="A50" s="28"/>
      <c r="B50" s="70"/>
      <c r="C50" s="142"/>
      <c r="D50" s="142"/>
      <c r="E50" s="142"/>
      <c r="F50" s="142"/>
      <c r="G50" s="142"/>
      <c r="H50" s="142"/>
      <c r="I50" s="142"/>
      <c r="J50" s="142"/>
      <c r="K50" s="143"/>
      <c r="L50" s="109"/>
      <c r="M50" s="76"/>
      <c r="N50" s="28"/>
      <c r="O50" s="28"/>
      <c r="P50" s="28"/>
      <c r="Q50" s="28"/>
      <c r="R50" s="28"/>
      <c r="S50" s="28"/>
      <c r="T50" s="28"/>
      <c r="U50" s="28"/>
    </row>
    <row r="51" spans="1:21" x14ac:dyDescent="0.2">
      <c r="A51" s="28"/>
      <c r="B51" s="71"/>
      <c r="C51" s="142"/>
      <c r="D51" s="142"/>
      <c r="E51" s="142"/>
      <c r="F51" s="142"/>
      <c r="G51" s="142"/>
      <c r="H51" s="142"/>
      <c r="I51" s="142"/>
      <c r="J51" s="142"/>
      <c r="K51" s="143"/>
      <c r="L51" s="109"/>
      <c r="M51" s="28"/>
      <c r="N51" s="28"/>
      <c r="O51" s="28"/>
      <c r="P51" s="28"/>
      <c r="Q51" s="28"/>
      <c r="R51" s="28"/>
      <c r="S51" s="28"/>
      <c r="T51" s="28"/>
      <c r="U51" s="28"/>
    </row>
    <row r="52" spans="1:21" x14ac:dyDescent="0.2">
      <c r="A52" s="28"/>
      <c r="B52" s="71"/>
      <c r="C52" s="142"/>
      <c r="D52" s="142"/>
      <c r="E52" s="142"/>
      <c r="F52" s="142"/>
      <c r="G52" s="142"/>
      <c r="H52" s="142"/>
      <c r="I52" s="142"/>
      <c r="J52" s="142"/>
      <c r="K52" s="143"/>
      <c r="L52" s="109"/>
      <c r="M52" s="28"/>
      <c r="N52" s="28"/>
      <c r="O52" s="28"/>
      <c r="P52" s="28"/>
      <c r="Q52" s="28"/>
      <c r="R52" s="28"/>
      <c r="S52" s="28"/>
      <c r="T52" s="28"/>
      <c r="U52" s="28"/>
    </row>
    <row r="53" spans="1:21" x14ac:dyDescent="0.2">
      <c r="A53" s="28"/>
      <c r="B53" s="71"/>
      <c r="C53" s="142"/>
      <c r="D53" s="142"/>
      <c r="E53" s="142"/>
      <c r="F53" s="142"/>
      <c r="G53" s="142"/>
      <c r="H53" s="142"/>
      <c r="I53" s="142"/>
      <c r="J53" s="142"/>
      <c r="K53" s="143"/>
      <c r="L53" s="109"/>
      <c r="M53" s="28"/>
      <c r="N53" s="28"/>
      <c r="O53" s="28"/>
      <c r="P53" s="28"/>
      <c r="Q53" s="28"/>
      <c r="R53" s="28"/>
      <c r="S53" s="28"/>
      <c r="T53" s="28"/>
      <c r="U53" s="28"/>
    </row>
    <row r="54" spans="1:21" x14ac:dyDescent="0.2">
      <c r="A54" s="39"/>
      <c r="B54" s="141" t="s">
        <v>55</v>
      </c>
      <c r="C54" s="142"/>
      <c r="D54" s="142"/>
      <c r="E54" s="142"/>
      <c r="F54" s="142"/>
      <c r="G54" s="142"/>
      <c r="H54" s="142"/>
      <c r="I54" s="142"/>
      <c r="J54" s="142"/>
      <c r="K54" s="143"/>
      <c r="L54" s="109"/>
      <c r="M54" s="28"/>
      <c r="N54" s="28"/>
      <c r="O54" s="28"/>
      <c r="P54" s="28"/>
      <c r="Q54" s="28"/>
      <c r="R54" s="28"/>
      <c r="S54" s="28"/>
      <c r="T54" s="28"/>
      <c r="U54" s="28"/>
    </row>
    <row r="55" spans="1:21" x14ac:dyDescent="0.2">
      <c r="A55" s="39"/>
      <c r="B55" s="141"/>
      <c r="C55" s="142"/>
      <c r="D55" s="142"/>
      <c r="E55" s="142"/>
      <c r="F55" s="142"/>
      <c r="G55" s="142"/>
      <c r="H55" s="142"/>
      <c r="I55" s="142"/>
      <c r="J55" s="142"/>
      <c r="K55" s="143"/>
      <c r="L55" s="109"/>
      <c r="M55" s="28"/>
      <c r="N55" s="28"/>
      <c r="O55" s="28"/>
      <c r="P55" s="28"/>
      <c r="Q55" s="28"/>
      <c r="R55" s="28"/>
      <c r="S55" s="28"/>
      <c r="T55" s="28"/>
      <c r="U55" s="28"/>
    </row>
    <row r="56" spans="1:21" x14ac:dyDescent="0.2">
      <c r="A56" s="39"/>
      <c r="B56" s="141"/>
      <c r="C56" s="142"/>
      <c r="D56" s="142"/>
      <c r="E56" s="142"/>
      <c r="F56" s="142"/>
      <c r="G56" s="142"/>
      <c r="H56" s="142"/>
      <c r="I56" s="142"/>
      <c r="J56" s="142"/>
      <c r="K56" s="143"/>
      <c r="L56" s="109"/>
      <c r="M56" s="28"/>
      <c r="N56" s="28"/>
      <c r="O56" s="28"/>
      <c r="P56" s="28"/>
      <c r="Q56" s="28"/>
      <c r="R56" s="28"/>
      <c r="S56" s="28"/>
      <c r="T56" s="28"/>
      <c r="U56" s="28"/>
    </row>
    <row r="57" spans="1:21" x14ac:dyDescent="0.2">
      <c r="A57" s="39"/>
      <c r="B57" s="70"/>
      <c r="C57" s="39"/>
      <c r="D57" s="39"/>
      <c r="E57" s="39"/>
      <c r="F57" s="39"/>
      <c r="G57" s="39"/>
      <c r="H57" s="39"/>
      <c r="I57" s="39"/>
      <c r="J57" s="39"/>
      <c r="K57" s="72"/>
      <c r="L57" s="39"/>
      <c r="M57" s="44"/>
      <c r="N57" s="28"/>
      <c r="O57" s="28"/>
      <c r="P57" s="28"/>
      <c r="Q57" s="28"/>
      <c r="R57" s="28"/>
      <c r="S57" s="28"/>
      <c r="T57" s="28"/>
      <c r="U57" s="28"/>
    </row>
    <row r="58" spans="1:21" x14ac:dyDescent="0.2">
      <c r="A58" s="39"/>
      <c r="B58" s="141" t="s">
        <v>53</v>
      </c>
      <c r="C58" s="142"/>
      <c r="D58" s="142"/>
      <c r="E58" s="142"/>
      <c r="F58" s="142"/>
      <c r="G58" s="142"/>
      <c r="H58" s="142"/>
      <c r="I58" s="142"/>
      <c r="J58" s="142"/>
      <c r="K58" s="143"/>
      <c r="L58" s="109"/>
      <c r="M58" s="44"/>
      <c r="N58" s="28"/>
      <c r="O58" s="28"/>
      <c r="P58" s="28"/>
      <c r="Q58" s="28"/>
      <c r="R58" s="28"/>
      <c r="S58" s="28"/>
      <c r="T58" s="28"/>
      <c r="U58" s="28"/>
    </row>
    <row r="59" spans="1:21" x14ac:dyDescent="0.2">
      <c r="A59" s="39"/>
      <c r="B59" s="141"/>
      <c r="C59" s="142"/>
      <c r="D59" s="142"/>
      <c r="E59" s="142"/>
      <c r="F59" s="142"/>
      <c r="G59" s="142"/>
      <c r="H59" s="142"/>
      <c r="I59" s="142"/>
      <c r="J59" s="142"/>
      <c r="K59" s="143"/>
      <c r="L59" s="109"/>
      <c r="M59" s="44"/>
      <c r="N59" s="28"/>
      <c r="O59" s="28"/>
      <c r="P59" s="28"/>
      <c r="Q59" s="28"/>
      <c r="R59" s="28"/>
      <c r="S59" s="28"/>
      <c r="T59" s="28"/>
      <c r="U59" s="28"/>
    </row>
    <row r="60" spans="1:21" x14ac:dyDescent="0.2">
      <c r="A60" s="39"/>
      <c r="B60" s="73"/>
      <c r="C60" s="74"/>
      <c r="D60" s="74"/>
      <c r="E60" s="74"/>
      <c r="F60" s="74"/>
      <c r="G60" s="74"/>
      <c r="H60" s="74"/>
      <c r="I60" s="74"/>
      <c r="J60" s="74"/>
      <c r="K60" s="75"/>
      <c r="L60" s="74"/>
      <c r="M60" s="44"/>
      <c r="N60" s="28"/>
      <c r="O60" s="28"/>
      <c r="P60" s="28"/>
      <c r="Q60" s="28"/>
      <c r="R60" s="28"/>
      <c r="S60" s="28"/>
      <c r="T60" s="28"/>
      <c r="U60" s="28"/>
    </row>
    <row r="61" spans="1:21" ht="17" thickBot="1" x14ac:dyDescent="0.25">
      <c r="A61" s="39"/>
      <c r="B61" s="144" t="s">
        <v>54</v>
      </c>
      <c r="C61" s="145"/>
      <c r="D61" s="145"/>
      <c r="E61" s="145"/>
      <c r="F61" s="145"/>
      <c r="G61" s="145"/>
      <c r="H61" s="145"/>
      <c r="I61" s="145"/>
      <c r="J61" s="145"/>
      <c r="K61" s="146"/>
      <c r="L61" s="109"/>
      <c r="M61" s="44"/>
      <c r="N61" s="28"/>
      <c r="O61" s="28"/>
      <c r="P61" s="28"/>
      <c r="Q61" s="28"/>
      <c r="R61" s="28"/>
      <c r="S61" s="28"/>
      <c r="T61" s="28"/>
      <c r="U61" s="28"/>
    </row>
    <row r="62" spans="1:21" x14ac:dyDescent="0.2">
      <c r="A62" s="39"/>
      <c r="B62" s="28"/>
      <c r="C62" s="28"/>
      <c r="D62" s="28"/>
      <c r="E62" s="28"/>
      <c r="F62" s="28"/>
      <c r="G62" s="28"/>
      <c r="H62" s="28"/>
      <c r="I62" s="28"/>
      <c r="J62" s="28"/>
      <c r="K62" s="28"/>
      <c r="L62" s="28"/>
      <c r="M62" s="28"/>
      <c r="N62" s="28"/>
      <c r="O62" s="28"/>
      <c r="P62" s="28"/>
      <c r="Q62" s="28"/>
      <c r="R62" s="28"/>
      <c r="S62" s="28"/>
      <c r="T62" s="28"/>
      <c r="U62" s="28"/>
    </row>
    <row r="63" spans="1:21" x14ac:dyDescent="0.2">
      <c r="A63" s="39"/>
      <c r="B63" s="28"/>
      <c r="C63" s="28"/>
      <c r="D63" s="28"/>
      <c r="E63" s="28"/>
      <c r="F63" s="28"/>
      <c r="G63" s="28"/>
      <c r="H63" s="28"/>
      <c r="I63" s="28"/>
      <c r="J63" s="28"/>
      <c r="K63" s="28"/>
      <c r="L63" s="28"/>
      <c r="M63" s="28"/>
      <c r="N63" s="28"/>
      <c r="O63" s="28"/>
      <c r="P63" s="28"/>
      <c r="Q63" s="28"/>
      <c r="R63" s="28"/>
      <c r="S63" s="28"/>
      <c r="T63" s="28"/>
      <c r="U63" s="28"/>
    </row>
    <row r="64" spans="1:21" x14ac:dyDescent="0.2">
      <c r="A64" s="39"/>
      <c r="B64" s="28"/>
      <c r="C64" s="28"/>
      <c r="D64" s="28"/>
      <c r="E64" s="28"/>
      <c r="F64" s="28"/>
      <c r="G64" s="28"/>
      <c r="H64" s="28"/>
      <c r="I64" s="28"/>
      <c r="J64" s="28"/>
      <c r="K64" s="28"/>
      <c r="L64" s="28"/>
      <c r="M64" s="28"/>
      <c r="N64" s="28"/>
      <c r="O64" s="28"/>
      <c r="P64" s="28"/>
      <c r="Q64" s="28"/>
      <c r="R64" s="28"/>
      <c r="S64" s="28"/>
      <c r="T64" s="28"/>
      <c r="U64" s="28"/>
    </row>
    <row r="65" spans="1:17" x14ac:dyDescent="0.2">
      <c r="A65" s="39"/>
      <c r="B65" s="39"/>
      <c r="C65" s="39"/>
      <c r="D65" s="39"/>
      <c r="E65" s="39"/>
      <c r="F65" s="39"/>
      <c r="G65" s="39"/>
      <c r="H65" s="39"/>
      <c r="I65" s="39"/>
      <c r="J65" s="39"/>
      <c r="K65" s="39"/>
      <c r="L65" s="39"/>
      <c r="M65" s="39"/>
      <c r="N65" s="39"/>
      <c r="O65" s="39"/>
      <c r="P65" s="39"/>
      <c r="Q65" s="39"/>
    </row>
    <row r="66" spans="1:17" x14ac:dyDescent="0.2">
      <c r="A66" s="39"/>
      <c r="B66" s="39"/>
      <c r="C66" s="39"/>
      <c r="D66" s="39"/>
      <c r="E66" s="39"/>
      <c r="F66" s="39"/>
      <c r="G66" s="39"/>
      <c r="H66" s="39"/>
      <c r="I66" s="39"/>
      <c r="J66" s="39"/>
      <c r="K66" s="39"/>
      <c r="L66" s="39"/>
      <c r="M66" s="39"/>
      <c r="N66" s="39"/>
      <c r="O66" s="39"/>
      <c r="P66" s="39"/>
      <c r="Q66" s="39"/>
    </row>
    <row r="67" spans="1:17" x14ac:dyDescent="0.2">
      <c r="A67" s="39"/>
      <c r="B67" s="39"/>
      <c r="C67" s="39"/>
      <c r="D67" s="39"/>
      <c r="E67" s="39"/>
      <c r="F67" s="39"/>
      <c r="G67" s="39"/>
      <c r="H67" s="39"/>
      <c r="I67" s="39"/>
      <c r="J67" s="39"/>
      <c r="K67" s="39"/>
      <c r="L67" s="39"/>
      <c r="M67" s="39"/>
      <c r="N67" s="39"/>
      <c r="O67" s="39"/>
      <c r="P67" s="39"/>
      <c r="Q67" s="39"/>
    </row>
    <row r="68" spans="1:17" x14ac:dyDescent="0.2">
      <c r="A68" s="39"/>
      <c r="B68" s="39"/>
      <c r="C68" s="39"/>
      <c r="D68" s="39"/>
      <c r="E68" s="39"/>
      <c r="F68" s="39"/>
      <c r="G68" s="39"/>
      <c r="H68" s="39"/>
      <c r="I68" s="39"/>
      <c r="J68" s="39"/>
      <c r="K68" s="39"/>
      <c r="L68" s="39"/>
      <c r="M68" s="39"/>
      <c r="N68" s="39"/>
      <c r="O68" s="39"/>
      <c r="P68" s="39"/>
      <c r="Q68" s="39"/>
    </row>
    <row r="69" spans="1:17" x14ac:dyDescent="0.2">
      <c r="A69" s="39"/>
      <c r="B69" s="39"/>
      <c r="C69" s="39"/>
      <c r="D69" s="39"/>
      <c r="E69" s="39"/>
      <c r="F69" s="39"/>
      <c r="G69" s="39"/>
      <c r="H69" s="39"/>
      <c r="I69" s="39"/>
      <c r="J69" s="39"/>
      <c r="K69" s="39"/>
      <c r="L69" s="39"/>
      <c r="M69" s="39"/>
      <c r="N69" s="39"/>
      <c r="O69" s="39"/>
      <c r="P69" s="39"/>
      <c r="Q69" s="39"/>
    </row>
    <row r="70" spans="1:17" x14ac:dyDescent="0.2">
      <c r="A70" s="39"/>
      <c r="B70" s="39"/>
      <c r="C70" s="39"/>
      <c r="D70" s="39"/>
      <c r="E70" s="39"/>
      <c r="F70" s="39"/>
      <c r="G70" s="39"/>
      <c r="H70" s="39"/>
      <c r="I70" s="39"/>
      <c r="J70" s="39"/>
      <c r="K70" s="39"/>
      <c r="L70" s="39"/>
      <c r="M70" s="39"/>
      <c r="N70" s="39"/>
      <c r="O70" s="39"/>
      <c r="P70" s="39"/>
      <c r="Q70" s="39"/>
    </row>
    <row r="71" spans="1:17" x14ac:dyDescent="0.2">
      <c r="A71" s="39"/>
      <c r="B71" s="39"/>
      <c r="C71" s="39"/>
      <c r="D71" s="39"/>
      <c r="E71" s="39"/>
      <c r="F71" s="39"/>
      <c r="G71" s="39"/>
      <c r="H71" s="39"/>
      <c r="I71" s="39"/>
      <c r="J71" s="39"/>
      <c r="K71" s="39"/>
      <c r="L71" s="39"/>
      <c r="M71" s="39"/>
      <c r="N71" s="39"/>
      <c r="O71" s="39"/>
      <c r="P71" s="39"/>
      <c r="Q71" s="39"/>
    </row>
    <row r="72" spans="1:17" x14ac:dyDescent="0.2">
      <c r="A72" s="39"/>
      <c r="B72" s="39"/>
      <c r="C72" s="39"/>
      <c r="D72" s="39"/>
      <c r="E72" s="39"/>
      <c r="F72" s="39"/>
      <c r="G72" s="39"/>
      <c r="H72" s="39"/>
      <c r="I72" s="39"/>
      <c r="J72" s="39"/>
      <c r="K72" s="39"/>
      <c r="L72" s="39"/>
      <c r="M72" s="39"/>
      <c r="N72" s="39"/>
      <c r="O72" s="39"/>
      <c r="P72" s="39"/>
      <c r="Q72" s="39"/>
    </row>
    <row r="73" spans="1:17" x14ac:dyDescent="0.2">
      <c r="A73" s="39"/>
      <c r="B73" s="39"/>
      <c r="C73" s="39"/>
      <c r="D73" s="39"/>
      <c r="E73" s="39"/>
      <c r="F73" s="39"/>
      <c r="G73" s="39"/>
      <c r="H73" s="39"/>
      <c r="I73" s="39"/>
      <c r="J73" s="39"/>
      <c r="K73" s="39"/>
      <c r="L73" s="39"/>
      <c r="M73" s="39"/>
      <c r="N73" s="39"/>
      <c r="O73" s="39"/>
      <c r="P73" s="39"/>
      <c r="Q73" s="39"/>
    </row>
    <row r="74" spans="1:17" x14ac:dyDescent="0.2">
      <c r="A74" s="39"/>
      <c r="B74" s="39"/>
      <c r="C74" s="39"/>
      <c r="D74" s="39"/>
      <c r="E74" s="39"/>
      <c r="F74" s="39"/>
      <c r="G74" s="39"/>
      <c r="H74" s="39"/>
      <c r="I74" s="39"/>
      <c r="J74" s="39"/>
      <c r="K74" s="39"/>
      <c r="L74" s="39"/>
      <c r="M74" s="39"/>
      <c r="N74" s="39"/>
      <c r="O74" s="39"/>
      <c r="P74" s="39"/>
      <c r="Q74" s="39"/>
    </row>
    <row r="75" spans="1:17" x14ac:dyDescent="0.2">
      <c r="A75" s="39"/>
      <c r="B75" s="39"/>
      <c r="C75" s="39"/>
      <c r="D75" s="39"/>
      <c r="E75" s="39"/>
      <c r="F75" s="39"/>
      <c r="G75" s="39"/>
      <c r="H75" s="39"/>
      <c r="I75" s="39"/>
      <c r="J75" s="39"/>
      <c r="K75" s="39"/>
      <c r="L75" s="39"/>
      <c r="M75" s="39"/>
      <c r="N75" s="39"/>
      <c r="O75" s="39"/>
      <c r="P75" s="39"/>
      <c r="Q75" s="39"/>
    </row>
    <row r="76" spans="1:17" x14ac:dyDescent="0.2">
      <c r="A76" s="39"/>
      <c r="B76" s="39"/>
      <c r="C76" s="39"/>
      <c r="D76" s="39"/>
      <c r="E76" s="39"/>
      <c r="F76" s="39"/>
      <c r="G76" s="39"/>
      <c r="H76" s="39"/>
      <c r="I76" s="39"/>
      <c r="J76" s="39"/>
      <c r="K76" s="39"/>
      <c r="L76" s="39"/>
      <c r="M76" s="39"/>
      <c r="N76" s="39"/>
      <c r="O76" s="39"/>
      <c r="P76" s="39"/>
      <c r="Q76" s="39"/>
    </row>
    <row r="77" spans="1:17" x14ac:dyDescent="0.2">
      <c r="A77" s="39"/>
      <c r="B77" s="39"/>
      <c r="C77" s="39"/>
      <c r="D77" s="39"/>
      <c r="E77" s="39"/>
      <c r="F77" s="39"/>
      <c r="G77" s="39"/>
      <c r="H77" s="39"/>
      <c r="I77" s="39"/>
      <c r="J77" s="39"/>
      <c r="K77" s="39"/>
      <c r="L77" s="39"/>
      <c r="M77" s="39"/>
      <c r="N77" s="39"/>
      <c r="O77" s="39"/>
      <c r="P77" s="39"/>
      <c r="Q77" s="39"/>
    </row>
    <row r="78" spans="1:17" x14ac:dyDescent="0.2">
      <c r="A78" s="39"/>
      <c r="B78" s="39"/>
      <c r="C78" s="39"/>
      <c r="D78" s="39"/>
      <c r="E78" s="39"/>
      <c r="F78" s="39"/>
      <c r="G78" s="39"/>
      <c r="H78" s="39"/>
      <c r="I78" s="39"/>
      <c r="J78" s="39"/>
      <c r="K78" s="39"/>
      <c r="L78" s="39"/>
      <c r="M78" s="39"/>
      <c r="N78" s="39"/>
      <c r="O78" s="39"/>
      <c r="P78" s="39"/>
      <c r="Q78" s="39"/>
    </row>
    <row r="79" spans="1:17" x14ac:dyDescent="0.2">
      <c r="A79" s="39"/>
      <c r="B79" s="39"/>
      <c r="C79" s="39"/>
      <c r="D79" s="39"/>
      <c r="E79" s="39"/>
      <c r="F79" s="39"/>
      <c r="G79" s="39"/>
      <c r="H79" s="39"/>
      <c r="I79" s="39"/>
      <c r="J79" s="39"/>
      <c r="K79" s="39"/>
      <c r="L79" s="39"/>
      <c r="M79" s="39"/>
      <c r="N79" s="39"/>
      <c r="O79" s="39"/>
      <c r="P79" s="39"/>
      <c r="Q79" s="39"/>
    </row>
    <row r="80" spans="1:17" x14ac:dyDescent="0.2">
      <c r="A80" s="39"/>
      <c r="B80" s="39"/>
      <c r="C80" s="39"/>
      <c r="D80" s="39"/>
      <c r="E80" s="39"/>
      <c r="F80" s="39"/>
      <c r="G80" s="39"/>
      <c r="H80" s="39"/>
      <c r="I80" s="39"/>
      <c r="J80" s="39"/>
      <c r="K80" s="39"/>
      <c r="L80" s="39"/>
      <c r="M80" s="39"/>
      <c r="N80" s="39"/>
      <c r="O80" s="39"/>
      <c r="P80" s="39"/>
      <c r="Q80" s="39"/>
    </row>
    <row r="81" spans="1:17" x14ac:dyDescent="0.2">
      <c r="A81" s="39"/>
      <c r="B81" s="39"/>
      <c r="C81" s="39"/>
      <c r="D81" s="39"/>
      <c r="E81" s="39"/>
      <c r="F81" s="39"/>
      <c r="G81" s="39"/>
      <c r="H81" s="39"/>
      <c r="I81" s="39"/>
      <c r="J81" s="39"/>
      <c r="K81" s="39"/>
      <c r="L81" s="39"/>
      <c r="M81" s="39"/>
      <c r="N81" s="39"/>
      <c r="O81" s="39"/>
      <c r="P81" s="39"/>
      <c r="Q81" s="39"/>
    </row>
    <row r="82" spans="1:17" x14ac:dyDescent="0.2">
      <c r="A82" s="39"/>
      <c r="B82" s="39"/>
      <c r="C82" s="39"/>
      <c r="D82" s="39"/>
      <c r="E82" s="39"/>
      <c r="F82" s="39"/>
      <c r="G82" s="39"/>
      <c r="H82" s="39"/>
      <c r="I82" s="39"/>
      <c r="J82" s="39"/>
      <c r="K82" s="39"/>
      <c r="L82" s="39"/>
      <c r="M82" s="39"/>
      <c r="N82" s="39"/>
      <c r="O82" s="39"/>
      <c r="P82" s="39"/>
      <c r="Q82" s="39"/>
    </row>
    <row r="83" spans="1:17" x14ac:dyDescent="0.2">
      <c r="A83" s="39"/>
      <c r="B83" s="39"/>
      <c r="C83" s="39"/>
      <c r="D83" s="39"/>
      <c r="E83" s="39"/>
      <c r="F83" s="39"/>
      <c r="G83" s="39"/>
      <c r="H83" s="39"/>
      <c r="I83" s="39"/>
      <c r="J83" s="39"/>
      <c r="K83" s="39"/>
      <c r="L83" s="39"/>
      <c r="M83" s="39"/>
      <c r="N83" s="39"/>
      <c r="O83" s="39"/>
      <c r="P83" s="39"/>
      <c r="Q83" s="39"/>
    </row>
    <row r="84" spans="1:17" x14ac:dyDescent="0.2">
      <c r="A84" s="39"/>
      <c r="B84" s="39"/>
      <c r="C84" s="39"/>
      <c r="D84" s="39"/>
      <c r="E84" s="39"/>
      <c r="F84" s="39"/>
      <c r="G84" s="39"/>
      <c r="H84" s="39"/>
      <c r="I84" s="39"/>
      <c r="J84" s="39"/>
      <c r="K84" s="39"/>
      <c r="L84" s="39"/>
      <c r="M84" s="39"/>
      <c r="N84" s="39"/>
      <c r="O84" s="39"/>
      <c r="P84" s="39"/>
      <c r="Q84" s="39"/>
    </row>
    <row r="85" spans="1:17" x14ac:dyDescent="0.2">
      <c r="A85" s="39"/>
      <c r="B85" s="39"/>
      <c r="C85" s="39"/>
      <c r="D85" s="39"/>
      <c r="E85" s="39"/>
      <c r="F85" s="39"/>
      <c r="G85" s="39"/>
      <c r="H85" s="39"/>
      <c r="I85" s="39"/>
      <c r="J85" s="39"/>
      <c r="K85" s="39"/>
      <c r="L85" s="39"/>
      <c r="M85" s="39"/>
      <c r="N85" s="39"/>
      <c r="O85" s="39"/>
      <c r="P85" s="39"/>
      <c r="Q85" s="39"/>
    </row>
    <row r="86" spans="1:17" x14ac:dyDescent="0.2">
      <c r="A86" s="39"/>
      <c r="B86" s="39"/>
      <c r="C86" s="39"/>
      <c r="D86" s="39"/>
      <c r="E86" s="39"/>
      <c r="F86" s="39"/>
      <c r="G86" s="39"/>
      <c r="H86" s="39"/>
      <c r="I86" s="39"/>
      <c r="J86" s="39"/>
      <c r="K86" s="39"/>
      <c r="L86" s="39"/>
      <c r="M86" s="39"/>
      <c r="N86" s="39"/>
      <c r="O86" s="39"/>
      <c r="P86" s="39"/>
      <c r="Q86" s="39"/>
    </row>
    <row r="87" spans="1:17" x14ac:dyDescent="0.2">
      <c r="A87" s="39"/>
      <c r="B87" s="39"/>
      <c r="C87" s="39"/>
      <c r="D87" s="39"/>
      <c r="E87" s="39"/>
      <c r="F87" s="39"/>
      <c r="G87" s="39"/>
      <c r="H87" s="39"/>
      <c r="I87" s="39"/>
      <c r="J87" s="39"/>
      <c r="K87" s="39"/>
      <c r="L87" s="39"/>
      <c r="M87" s="39"/>
      <c r="N87" s="39"/>
      <c r="O87" s="39"/>
      <c r="P87" s="39"/>
      <c r="Q87" s="39"/>
    </row>
    <row r="88" spans="1:17" x14ac:dyDescent="0.2">
      <c r="A88" s="39"/>
      <c r="B88" s="39"/>
      <c r="C88" s="39"/>
      <c r="D88" s="39"/>
      <c r="E88" s="39"/>
      <c r="F88" s="39"/>
      <c r="G88" s="39"/>
      <c r="H88" s="39"/>
      <c r="I88" s="39"/>
      <c r="J88" s="39"/>
      <c r="K88" s="39"/>
      <c r="L88" s="39"/>
      <c r="M88" s="39"/>
      <c r="N88" s="39"/>
      <c r="O88" s="39"/>
      <c r="P88" s="39"/>
      <c r="Q88" s="39"/>
    </row>
    <row r="89" spans="1:17" x14ac:dyDescent="0.2">
      <c r="A89" s="39"/>
      <c r="B89" s="39"/>
      <c r="C89" s="39"/>
      <c r="D89" s="39"/>
      <c r="E89" s="39"/>
      <c r="F89" s="39"/>
      <c r="G89" s="39"/>
      <c r="H89" s="39"/>
      <c r="I89" s="39"/>
      <c r="J89" s="39"/>
      <c r="K89" s="39"/>
      <c r="L89" s="39"/>
      <c r="M89" s="39"/>
      <c r="N89" s="39"/>
      <c r="O89" s="39"/>
      <c r="P89" s="39"/>
      <c r="Q89" s="39"/>
    </row>
    <row r="90" spans="1:17" x14ac:dyDescent="0.2">
      <c r="A90" s="39"/>
      <c r="B90" s="39"/>
      <c r="C90" s="39"/>
      <c r="D90" s="39"/>
      <c r="E90" s="39"/>
      <c r="F90" s="39"/>
      <c r="G90" s="39"/>
      <c r="H90" s="39"/>
      <c r="I90" s="39"/>
      <c r="J90" s="39"/>
      <c r="K90" s="39"/>
      <c r="L90" s="39"/>
      <c r="M90" s="39"/>
      <c r="N90" s="39"/>
      <c r="O90" s="39"/>
      <c r="P90" s="39"/>
      <c r="Q90" s="39"/>
    </row>
    <row r="91" spans="1:17" x14ac:dyDescent="0.2">
      <c r="A91" s="39"/>
      <c r="B91" s="39"/>
      <c r="C91" s="39"/>
      <c r="D91" s="39"/>
      <c r="E91" s="39"/>
      <c r="F91" s="39"/>
      <c r="G91" s="39"/>
      <c r="H91" s="39"/>
      <c r="I91" s="39"/>
      <c r="J91" s="39"/>
      <c r="K91" s="39"/>
      <c r="L91" s="39"/>
      <c r="M91" s="39"/>
      <c r="N91" s="39"/>
      <c r="O91" s="39"/>
      <c r="P91" s="39"/>
      <c r="Q91" s="39"/>
    </row>
    <row r="92" spans="1:17" x14ac:dyDescent="0.2">
      <c r="A92" s="39"/>
      <c r="B92" s="39"/>
      <c r="C92" s="39"/>
      <c r="D92" s="39"/>
      <c r="E92" s="39"/>
      <c r="F92" s="39"/>
      <c r="G92" s="39"/>
      <c r="H92" s="39"/>
      <c r="I92" s="39"/>
      <c r="J92" s="39"/>
      <c r="K92" s="39"/>
      <c r="L92" s="39"/>
      <c r="M92" s="39"/>
      <c r="N92" s="39"/>
      <c r="O92" s="39"/>
      <c r="P92" s="39"/>
      <c r="Q92" s="39"/>
    </row>
    <row r="93" spans="1:17" x14ac:dyDescent="0.2">
      <c r="A93" s="39"/>
      <c r="B93" s="39"/>
      <c r="C93" s="39"/>
      <c r="D93" s="39"/>
      <c r="E93" s="39"/>
      <c r="F93" s="39"/>
      <c r="G93" s="39"/>
      <c r="H93" s="39"/>
      <c r="I93" s="39"/>
      <c r="J93" s="39"/>
      <c r="K93" s="39"/>
      <c r="L93" s="39"/>
      <c r="M93" s="39"/>
      <c r="N93" s="39"/>
      <c r="O93" s="39"/>
      <c r="P93" s="39"/>
      <c r="Q93" s="39"/>
    </row>
    <row r="94" spans="1:17" x14ac:dyDescent="0.2">
      <c r="A94" s="39"/>
      <c r="B94" s="39"/>
      <c r="C94" s="39"/>
      <c r="D94" s="39"/>
      <c r="E94" s="39"/>
      <c r="F94" s="39"/>
      <c r="G94" s="39"/>
      <c r="H94" s="39"/>
      <c r="I94" s="39"/>
      <c r="J94" s="39"/>
      <c r="K94" s="39"/>
      <c r="L94" s="39"/>
      <c r="M94" s="39"/>
      <c r="N94" s="39"/>
      <c r="O94" s="39"/>
      <c r="P94" s="39"/>
      <c r="Q94" s="39"/>
    </row>
    <row r="95" spans="1:17" x14ac:dyDescent="0.2">
      <c r="A95" s="39"/>
      <c r="B95" s="39"/>
      <c r="C95" s="39"/>
      <c r="D95" s="39"/>
      <c r="E95" s="39"/>
      <c r="F95" s="39"/>
      <c r="G95" s="39"/>
      <c r="H95" s="39"/>
      <c r="I95" s="39"/>
      <c r="J95" s="39"/>
      <c r="K95" s="39"/>
      <c r="L95" s="39"/>
      <c r="M95" s="39"/>
      <c r="N95" s="39"/>
      <c r="O95" s="39"/>
      <c r="P95" s="39"/>
      <c r="Q95" s="39"/>
    </row>
    <row r="96" spans="1:17" x14ac:dyDescent="0.2">
      <c r="A96" s="39"/>
      <c r="B96" s="39"/>
      <c r="C96" s="39"/>
      <c r="D96" s="39"/>
      <c r="E96" s="39"/>
      <c r="F96" s="39"/>
      <c r="G96" s="39"/>
      <c r="H96" s="39"/>
      <c r="I96" s="39"/>
      <c r="J96" s="39"/>
      <c r="K96" s="39"/>
      <c r="L96" s="39"/>
      <c r="M96" s="39"/>
      <c r="N96" s="39"/>
      <c r="O96" s="39"/>
      <c r="P96" s="39"/>
      <c r="Q96" s="39"/>
    </row>
    <row r="97" spans="1:17" x14ac:dyDescent="0.2">
      <c r="A97" s="39"/>
      <c r="B97" s="39"/>
      <c r="C97" s="39"/>
      <c r="D97" s="39"/>
      <c r="E97" s="39"/>
      <c r="F97" s="39"/>
      <c r="G97" s="39"/>
      <c r="H97" s="39"/>
      <c r="I97" s="39"/>
      <c r="J97" s="39"/>
      <c r="K97" s="39"/>
      <c r="L97" s="39"/>
      <c r="M97" s="39"/>
      <c r="N97" s="39"/>
      <c r="O97" s="39"/>
      <c r="P97" s="39"/>
      <c r="Q97" s="39"/>
    </row>
    <row r="98" spans="1:17" x14ac:dyDescent="0.2">
      <c r="A98" s="39"/>
      <c r="B98" s="39"/>
      <c r="C98" s="39"/>
      <c r="D98" s="39"/>
      <c r="E98" s="39"/>
      <c r="F98" s="39"/>
      <c r="G98" s="39"/>
      <c r="H98" s="39"/>
      <c r="I98" s="39"/>
      <c r="J98" s="39"/>
      <c r="K98" s="39"/>
      <c r="L98" s="39"/>
      <c r="M98" s="39"/>
      <c r="N98" s="39"/>
      <c r="O98" s="39"/>
      <c r="P98" s="39"/>
      <c r="Q98" s="39"/>
    </row>
    <row r="99" spans="1:17" x14ac:dyDescent="0.2">
      <c r="A99" s="39"/>
      <c r="B99" s="39"/>
      <c r="C99" s="39"/>
      <c r="D99" s="39"/>
      <c r="E99" s="39"/>
      <c r="F99" s="39"/>
      <c r="G99" s="39"/>
      <c r="H99" s="39"/>
      <c r="I99" s="39"/>
      <c r="J99" s="39"/>
      <c r="K99" s="39"/>
      <c r="L99" s="39"/>
      <c r="M99" s="39"/>
      <c r="N99" s="39"/>
      <c r="O99" s="39"/>
      <c r="P99" s="39"/>
      <c r="Q99" s="39"/>
    </row>
    <row r="100" spans="1:17" x14ac:dyDescent="0.2">
      <c r="A100" s="39"/>
      <c r="B100" s="39"/>
      <c r="C100" s="39"/>
      <c r="D100" s="39"/>
      <c r="E100" s="39"/>
      <c r="F100" s="39"/>
      <c r="G100" s="39"/>
      <c r="H100" s="39"/>
      <c r="I100" s="39"/>
      <c r="J100" s="39"/>
      <c r="K100" s="39"/>
      <c r="L100" s="39"/>
      <c r="M100" s="39"/>
      <c r="N100" s="39"/>
      <c r="O100" s="39"/>
      <c r="P100" s="39"/>
      <c r="Q100" s="39"/>
    </row>
    <row r="101" spans="1:17" x14ac:dyDescent="0.2">
      <c r="A101" s="39"/>
      <c r="B101" s="39"/>
      <c r="C101" s="39"/>
      <c r="D101" s="39"/>
      <c r="E101" s="39"/>
      <c r="F101" s="39"/>
      <c r="G101" s="39"/>
      <c r="H101" s="39"/>
      <c r="I101" s="39"/>
      <c r="J101" s="39"/>
      <c r="K101" s="39"/>
      <c r="L101" s="39"/>
      <c r="M101" s="39"/>
      <c r="N101" s="39"/>
      <c r="O101" s="39"/>
      <c r="P101" s="39"/>
      <c r="Q101" s="39"/>
    </row>
    <row r="102" spans="1:17" x14ac:dyDescent="0.2">
      <c r="A102" s="39"/>
      <c r="B102" s="39"/>
      <c r="C102" s="39"/>
      <c r="D102" s="39"/>
      <c r="E102" s="39"/>
      <c r="F102" s="39"/>
      <c r="G102" s="39"/>
      <c r="H102" s="39"/>
      <c r="I102" s="39"/>
      <c r="J102" s="39"/>
      <c r="K102" s="39"/>
      <c r="L102" s="39"/>
      <c r="M102" s="39"/>
      <c r="N102" s="39"/>
      <c r="O102" s="39"/>
      <c r="P102" s="39"/>
      <c r="Q102" s="39"/>
    </row>
    <row r="103" spans="1:17" x14ac:dyDescent="0.2">
      <c r="A103" s="39"/>
      <c r="B103" s="39"/>
      <c r="C103" s="39"/>
      <c r="D103" s="39"/>
      <c r="E103" s="39"/>
      <c r="F103" s="39"/>
      <c r="G103" s="39"/>
      <c r="H103" s="39"/>
      <c r="I103" s="39"/>
      <c r="J103" s="39"/>
      <c r="K103" s="39"/>
      <c r="L103" s="39"/>
      <c r="M103" s="39"/>
      <c r="N103" s="39"/>
      <c r="O103" s="39"/>
      <c r="P103" s="39"/>
      <c r="Q103" s="39"/>
    </row>
    <row r="104" spans="1:17" x14ac:dyDescent="0.2">
      <c r="A104" s="39"/>
      <c r="B104" s="39"/>
      <c r="C104" s="39"/>
      <c r="D104" s="39"/>
      <c r="E104" s="39"/>
      <c r="F104" s="39"/>
      <c r="G104" s="39"/>
      <c r="H104" s="39"/>
      <c r="I104" s="39"/>
      <c r="J104" s="39"/>
      <c r="K104" s="39"/>
      <c r="L104" s="39"/>
      <c r="M104" s="39"/>
      <c r="N104" s="39"/>
      <c r="O104" s="39"/>
      <c r="P104" s="39"/>
      <c r="Q104" s="39"/>
    </row>
    <row r="105" spans="1:17" x14ac:dyDescent="0.2">
      <c r="A105" s="39"/>
      <c r="B105" s="39"/>
      <c r="C105" s="39"/>
      <c r="D105" s="39"/>
      <c r="E105" s="39"/>
      <c r="F105" s="39"/>
      <c r="G105" s="39"/>
      <c r="H105" s="39"/>
      <c r="I105" s="39"/>
      <c r="J105" s="39"/>
      <c r="K105" s="39"/>
      <c r="L105" s="39"/>
      <c r="M105" s="39"/>
      <c r="N105" s="39"/>
      <c r="O105" s="39"/>
      <c r="P105" s="39"/>
      <c r="Q105" s="39"/>
    </row>
    <row r="106" spans="1:17" x14ac:dyDescent="0.2">
      <c r="A106" s="39"/>
      <c r="B106" s="39"/>
      <c r="C106" s="39"/>
      <c r="D106" s="39"/>
      <c r="E106" s="39"/>
      <c r="F106" s="39"/>
      <c r="G106" s="39"/>
      <c r="H106" s="39"/>
      <c r="I106" s="39"/>
      <c r="J106" s="39"/>
      <c r="K106" s="39"/>
      <c r="L106" s="39"/>
      <c r="M106" s="39"/>
      <c r="N106" s="39"/>
      <c r="O106" s="39"/>
      <c r="P106" s="39"/>
      <c r="Q106" s="39"/>
    </row>
    <row r="107" spans="1:17" x14ac:dyDescent="0.2">
      <c r="A107" s="39"/>
      <c r="B107" s="39"/>
      <c r="C107" s="39"/>
      <c r="D107" s="39"/>
      <c r="E107" s="39"/>
      <c r="F107" s="39"/>
      <c r="G107" s="39"/>
      <c r="H107" s="39"/>
      <c r="I107" s="39"/>
      <c r="J107" s="39"/>
      <c r="K107" s="39"/>
      <c r="L107" s="39"/>
      <c r="M107" s="39"/>
      <c r="N107" s="39"/>
      <c r="O107" s="39"/>
      <c r="P107" s="39"/>
      <c r="Q107" s="39"/>
    </row>
    <row r="108" spans="1:17" x14ac:dyDescent="0.2">
      <c r="A108" s="39"/>
      <c r="B108" s="39"/>
      <c r="C108" s="39"/>
      <c r="D108" s="39"/>
      <c r="E108" s="39"/>
      <c r="F108" s="39"/>
      <c r="G108" s="39"/>
      <c r="H108" s="39"/>
      <c r="I108" s="39"/>
      <c r="J108" s="39"/>
      <c r="K108" s="39"/>
      <c r="L108" s="39"/>
      <c r="M108" s="39"/>
      <c r="N108" s="39"/>
      <c r="O108" s="39"/>
      <c r="P108" s="39"/>
      <c r="Q108" s="39"/>
    </row>
    <row r="109" spans="1:17" x14ac:dyDescent="0.2">
      <c r="A109" s="39"/>
      <c r="B109" s="39"/>
      <c r="C109" s="39"/>
      <c r="D109" s="39"/>
      <c r="E109" s="39"/>
      <c r="F109" s="39"/>
      <c r="G109" s="39"/>
      <c r="H109" s="39"/>
      <c r="I109" s="39"/>
      <c r="J109" s="39"/>
      <c r="K109" s="39"/>
      <c r="L109" s="39"/>
      <c r="M109" s="39"/>
      <c r="N109" s="39"/>
      <c r="O109" s="39"/>
      <c r="P109" s="39"/>
      <c r="Q109" s="39"/>
    </row>
    <row r="110" spans="1:17" x14ac:dyDescent="0.2">
      <c r="A110" s="39"/>
      <c r="B110" s="39"/>
      <c r="C110" s="39"/>
      <c r="D110" s="39"/>
      <c r="E110" s="39"/>
      <c r="F110" s="39"/>
      <c r="G110" s="39"/>
      <c r="H110" s="39"/>
      <c r="I110" s="39"/>
      <c r="J110" s="39"/>
      <c r="K110" s="39"/>
      <c r="L110" s="39"/>
      <c r="M110" s="39"/>
      <c r="N110" s="39"/>
      <c r="O110" s="39"/>
      <c r="P110" s="39"/>
      <c r="Q110" s="39"/>
    </row>
    <row r="111" spans="1:17" x14ac:dyDescent="0.2">
      <c r="A111" s="39"/>
      <c r="B111" s="39"/>
      <c r="C111" s="39"/>
      <c r="D111" s="39"/>
      <c r="E111" s="39"/>
      <c r="F111" s="39"/>
      <c r="G111" s="39"/>
      <c r="H111" s="39"/>
      <c r="I111" s="39"/>
      <c r="J111" s="39"/>
      <c r="K111" s="39"/>
      <c r="L111" s="39"/>
      <c r="M111" s="39"/>
      <c r="N111" s="39"/>
      <c r="O111" s="39"/>
      <c r="P111" s="39"/>
      <c r="Q111" s="39"/>
    </row>
    <row r="112" spans="1:17" x14ac:dyDescent="0.2">
      <c r="A112" s="39"/>
      <c r="B112" s="39"/>
      <c r="C112" s="39"/>
      <c r="D112" s="39"/>
      <c r="E112" s="39"/>
      <c r="F112" s="39"/>
      <c r="G112" s="39"/>
      <c r="H112" s="39"/>
      <c r="I112" s="39"/>
      <c r="J112" s="39"/>
      <c r="K112" s="39"/>
      <c r="L112" s="39"/>
      <c r="M112" s="39"/>
      <c r="N112" s="39"/>
      <c r="O112" s="39"/>
      <c r="P112" s="39"/>
      <c r="Q112" s="39"/>
    </row>
    <row r="113" spans="1:17" x14ac:dyDescent="0.2">
      <c r="A113" s="39"/>
      <c r="B113" s="39"/>
      <c r="C113" s="39"/>
      <c r="D113" s="39"/>
      <c r="E113" s="39"/>
      <c r="F113" s="39"/>
      <c r="G113" s="39"/>
      <c r="H113" s="39"/>
      <c r="I113" s="39"/>
      <c r="J113" s="39"/>
      <c r="K113" s="39"/>
      <c r="L113" s="39"/>
      <c r="M113" s="39"/>
      <c r="N113" s="39"/>
      <c r="O113" s="39"/>
      <c r="P113" s="39"/>
      <c r="Q113" s="39"/>
    </row>
    <row r="114" spans="1:17" x14ac:dyDescent="0.2">
      <c r="A114" s="39"/>
      <c r="B114" s="39"/>
      <c r="C114" s="39"/>
      <c r="D114" s="39"/>
      <c r="E114" s="39"/>
      <c r="F114" s="39"/>
      <c r="G114" s="39"/>
      <c r="H114" s="39"/>
      <c r="I114" s="39"/>
      <c r="J114" s="39"/>
      <c r="K114" s="39"/>
      <c r="L114" s="39"/>
      <c r="M114" s="39"/>
      <c r="N114" s="39"/>
      <c r="O114" s="39"/>
      <c r="P114" s="39"/>
      <c r="Q114" s="39"/>
    </row>
    <row r="115" spans="1:17" x14ac:dyDescent="0.2">
      <c r="A115" s="39"/>
      <c r="B115" s="39"/>
      <c r="C115" s="39"/>
      <c r="D115" s="39"/>
      <c r="E115" s="39"/>
      <c r="F115" s="39"/>
      <c r="G115" s="39"/>
      <c r="H115" s="39"/>
      <c r="I115" s="39"/>
      <c r="J115" s="39"/>
      <c r="K115" s="39"/>
      <c r="L115" s="39"/>
      <c r="M115" s="39"/>
      <c r="N115" s="39"/>
      <c r="O115" s="39"/>
      <c r="P115" s="39"/>
      <c r="Q115" s="39"/>
    </row>
    <row r="116" spans="1:17" x14ac:dyDescent="0.2">
      <c r="A116" s="39"/>
      <c r="B116" s="39"/>
      <c r="C116" s="39"/>
      <c r="D116" s="39"/>
      <c r="E116" s="39"/>
      <c r="F116" s="39"/>
      <c r="G116" s="39"/>
      <c r="H116" s="39"/>
      <c r="I116" s="39"/>
      <c r="J116" s="39"/>
      <c r="K116" s="39"/>
      <c r="L116" s="39"/>
      <c r="M116" s="39"/>
      <c r="N116" s="39"/>
      <c r="O116" s="39"/>
      <c r="Q116" s="39"/>
    </row>
    <row r="117" spans="1:17" x14ac:dyDescent="0.2">
      <c r="A117" s="39"/>
      <c r="B117" s="39"/>
      <c r="C117" s="39"/>
      <c r="D117" s="39"/>
      <c r="E117" s="39"/>
      <c r="F117" s="39"/>
      <c r="G117" s="39"/>
      <c r="H117" s="39"/>
      <c r="I117" s="39"/>
      <c r="J117" s="39"/>
      <c r="K117" s="39"/>
      <c r="L117" s="39"/>
      <c r="M117" s="39"/>
      <c r="N117" s="39"/>
      <c r="O117" s="39"/>
      <c r="Q117" s="39"/>
    </row>
    <row r="118" spans="1:17" x14ac:dyDescent="0.2">
      <c r="A118" s="39"/>
      <c r="B118" s="39"/>
      <c r="C118" s="39"/>
      <c r="D118" s="39"/>
      <c r="E118" s="39"/>
      <c r="F118" s="39"/>
      <c r="G118" s="39"/>
      <c r="H118" s="39"/>
      <c r="I118" s="39"/>
      <c r="J118" s="39"/>
      <c r="K118" s="39"/>
      <c r="L118" s="39"/>
      <c r="M118" s="39"/>
      <c r="N118" s="39"/>
      <c r="O118" s="39"/>
      <c r="Q118" s="39"/>
    </row>
    <row r="119" spans="1:17" x14ac:dyDescent="0.2">
      <c r="A119" s="39"/>
      <c r="B119" s="39"/>
      <c r="C119" s="39"/>
      <c r="D119" s="39"/>
      <c r="E119" s="39"/>
      <c r="F119" s="39"/>
      <c r="G119" s="39"/>
      <c r="H119" s="39"/>
      <c r="I119" s="39"/>
      <c r="J119" s="39"/>
      <c r="K119" s="39"/>
      <c r="L119" s="39"/>
      <c r="M119" s="39"/>
      <c r="N119" s="39"/>
      <c r="O119" s="39"/>
      <c r="Q119" s="39"/>
    </row>
    <row r="120" spans="1:17" x14ac:dyDescent="0.2">
      <c r="A120" s="39"/>
      <c r="B120" s="39"/>
      <c r="C120" s="39"/>
      <c r="D120" s="39"/>
      <c r="E120" s="39"/>
      <c r="F120" s="39"/>
      <c r="G120" s="39"/>
      <c r="H120" s="39"/>
      <c r="I120" s="39"/>
      <c r="J120" s="39"/>
      <c r="K120" s="39"/>
      <c r="L120" s="39"/>
      <c r="M120" s="39"/>
      <c r="N120" s="39"/>
      <c r="O120" s="39"/>
      <c r="Q120" s="39"/>
    </row>
    <row r="121" spans="1:17" x14ac:dyDescent="0.2">
      <c r="A121" s="39"/>
      <c r="B121" s="39"/>
      <c r="C121" s="39"/>
      <c r="D121" s="39"/>
      <c r="E121" s="39"/>
      <c r="F121" s="39"/>
      <c r="G121" s="39"/>
      <c r="H121" s="39"/>
      <c r="I121" s="39"/>
      <c r="J121" s="39"/>
      <c r="K121" s="39"/>
      <c r="L121" s="39"/>
      <c r="M121" s="39"/>
      <c r="N121" s="39"/>
      <c r="O121" s="39"/>
      <c r="Q121" s="39"/>
    </row>
    <row r="122" spans="1:17" x14ac:dyDescent="0.2">
      <c r="A122" s="39"/>
      <c r="B122" s="39"/>
      <c r="C122" s="39"/>
      <c r="D122" s="39"/>
      <c r="E122" s="39"/>
      <c r="F122" s="39"/>
      <c r="G122" s="39"/>
      <c r="H122" s="39"/>
      <c r="I122" s="39"/>
      <c r="J122" s="39"/>
      <c r="K122" s="39"/>
      <c r="L122" s="39"/>
      <c r="M122" s="39"/>
      <c r="N122" s="39"/>
      <c r="O122" s="39"/>
      <c r="Q122" s="39"/>
    </row>
  </sheetData>
  <sheetProtection selectLockedCells="1"/>
  <sortState xmlns:xlrd2="http://schemas.microsoft.com/office/spreadsheetml/2017/richdata2" ref="C39:M44">
    <sortCondition ref="C38:C44"/>
  </sortState>
  <mergeCells count="8">
    <mergeCell ref="B58:K59"/>
    <mergeCell ref="B61:K61"/>
    <mergeCell ref="C49:K53"/>
    <mergeCell ref="H2:I2"/>
    <mergeCell ref="E2:G2"/>
    <mergeCell ref="E4:G4"/>
    <mergeCell ref="O20:U20"/>
    <mergeCell ref="B54:K56"/>
  </mergeCells>
  <conditionalFormatting sqref="E38:E44">
    <cfRule type="colorScale" priority="9">
      <colorScale>
        <cfvo type="min"/>
        <cfvo type="percentile" val="50"/>
        <cfvo type="max"/>
        <color rgb="FF63BE7B"/>
        <color rgb="FFFFEB84"/>
        <color rgb="FFF8696B"/>
      </colorScale>
    </cfRule>
  </conditionalFormatting>
  <conditionalFormatting sqref="H38:I44">
    <cfRule type="colorScale" priority="28">
      <colorScale>
        <cfvo type="min"/>
        <cfvo type="percentile" val="50"/>
        <cfvo type="max"/>
        <color rgb="FF63BE7B"/>
        <color rgb="FFFFEB84"/>
        <color rgb="FFF8696B"/>
      </colorScale>
    </cfRule>
  </conditionalFormatting>
  <conditionalFormatting sqref="F38:G44">
    <cfRule type="colorScale" priority="27">
      <colorScale>
        <cfvo type="min"/>
        <cfvo type="percentile" val="50"/>
        <cfvo type="max"/>
        <color rgb="FF63BE7B"/>
        <color rgb="FFFFEB84"/>
        <color rgb="FFF8696B"/>
      </colorScale>
    </cfRule>
  </conditionalFormatting>
  <conditionalFormatting sqref="J38:J44">
    <cfRule type="colorScale" priority="26">
      <colorScale>
        <cfvo type="min"/>
        <cfvo type="percentile" val="50"/>
        <cfvo type="max"/>
        <color rgb="FF63BE7B"/>
        <color rgb="FFFFEB84"/>
        <color rgb="FFF8696B"/>
      </colorScale>
    </cfRule>
  </conditionalFormatting>
  <conditionalFormatting sqref="K38:K44">
    <cfRule type="colorScale" priority="25">
      <colorScale>
        <cfvo type="min"/>
        <cfvo type="percentile" val="50"/>
        <cfvo type="max"/>
        <color rgb="FF63BE7B"/>
        <color rgb="FFFFEB84"/>
        <color rgb="FFF8696B"/>
      </colorScale>
    </cfRule>
  </conditionalFormatting>
  <conditionalFormatting sqref="N38:N44">
    <cfRule type="colorScale" priority="24">
      <colorScale>
        <cfvo type="min"/>
        <cfvo type="percentile" val="50"/>
        <cfvo type="max"/>
        <color rgb="FF63BE7B"/>
        <color rgb="FFFFEB84"/>
        <color rgb="FFF8696B"/>
      </colorScale>
    </cfRule>
  </conditionalFormatting>
  <conditionalFormatting sqref="M38:M44">
    <cfRule type="colorScale" priority="5">
      <colorScale>
        <cfvo type="min"/>
        <cfvo type="percentile" val="50"/>
        <cfvo type="max"/>
        <color rgb="FF63BE7B"/>
        <color rgb="FFFFEB84"/>
        <color rgb="FFF8696B"/>
      </colorScale>
    </cfRule>
  </conditionalFormatting>
  <conditionalFormatting sqref="I38:I44">
    <cfRule type="colorScale" priority="16">
      <colorScale>
        <cfvo type="min"/>
        <cfvo type="percentile" val="50"/>
        <cfvo type="max"/>
        <color rgb="FF63BE7B"/>
        <color rgb="FFFFEB84"/>
        <color rgb="FFF8696B"/>
      </colorScale>
    </cfRule>
  </conditionalFormatting>
  <conditionalFormatting sqref="H38:H44">
    <cfRule type="colorScale" priority="15">
      <colorScale>
        <cfvo type="min"/>
        <cfvo type="percentile" val="50"/>
        <cfvo type="max"/>
        <color rgb="FF63BE7B"/>
        <color rgb="FFFFEB84"/>
        <color rgb="FFF8696B"/>
      </colorScale>
    </cfRule>
  </conditionalFormatting>
  <conditionalFormatting sqref="G38:G44">
    <cfRule type="colorScale" priority="11">
      <colorScale>
        <cfvo type="min"/>
        <cfvo type="percentile" val="50"/>
        <cfvo type="max"/>
        <color rgb="FF63BE7B"/>
        <color rgb="FFFFEB84"/>
        <color rgb="FFF8696B"/>
      </colorScale>
    </cfRule>
  </conditionalFormatting>
  <conditionalFormatting sqref="F38:F44">
    <cfRule type="colorScale" priority="10">
      <colorScale>
        <cfvo type="min"/>
        <cfvo type="percentile" val="50"/>
        <cfvo type="max"/>
        <color rgb="FF63BE7B"/>
        <color rgb="FFFFEB84"/>
        <color rgb="FFF8696B"/>
      </colorScale>
    </cfRule>
  </conditionalFormatting>
  <conditionalFormatting sqref="C38:C44">
    <cfRule type="colorScale" priority="8">
      <colorScale>
        <cfvo type="min"/>
        <cfvo type="percentile" val="50"/>
        <cfvo type="max"/>
        <color rgb="FF63BE7B"/>
        <color rgb="FFFFEB84"/>
        <color rgb="FFF8696B"/>
      </colorScale>
    </cfRule>
  </conditionalFormatting>
  <conditionalFormatting sqref="D38:D44">
    <cfRule type="colorScale" priority="7">
      <colorScale>
        <cfvo type="min"/>
        <cfvo type="percentile" val="50"/>
        <cfvo type="max"/>
        <color rgb="FF63BE7B"/>
        <color rgb="FFFFEB84"/>
        <color rgb="FFF8696B"/>
      </colorScale>
    </cfRule>
  </conditionalFormatting>
  <conditionalFormatting sqref="C38:D44">
    <cfRule type="colorScale" priority="52">
      <colorScale>
        <cfvo type="min"/>
        <cfvo type="percentile" val="50"/>
        <cfvo type="max"/>
        <color rgb="FF63BE7B"/>
        <color rgb="FFFFEB84"/>
        <color rgb="FFF8696B"/>
      </colorScale>
    </cfRule>
  </conditionalFormatting>
  <conditionalFormatting sqref="C38:K44 M38:M44">
    <cfRule type="colorScale" priority="57">
      <colorScale>
        <cfvo type="min"/>
        <cfvo type="percentile" val="50"/>
        <cfvo type="max"/>
        <color rgb="FF63BE7B"/>
        <color rgb="FFFFEB84"/>
        <color rgb="FFF8696B"/>
      </colorScale>
    </cfRule>
  </conditionalFormatting>
  <conditionalFormatting sqref="C38:K44">
    <cfRule type="colorScale" priority="60">
      <colorScale>
        <cfvo type="min"/>
        <cfvo type="percentile" val="50"/>
        <cfvo type="max"/>
        <color rgb="FF63BE7B"/>
        <color rgb="FFFFEB84"/>
        <color rgb="FFF8696B"/>
      </colorScale>
    </cfRule>
  </conditionalFormatting>
  <conditionalFormatting sqref="L38:L44">
    <cfRule type="colorScale" priority="1">
      <colorScale>
        <cfvo type="min"/>
        <cfvo type="percentile" val="50"/>
        <cfvo type="max"/>
        <color rgb="FF63BE7B"/>
        <color rgb="FFFFEB84"/>
        <color rgb="FFF8696B"/>
      </colorScale>
    </cfRule>
  </conditionalFormatting>
  <hyperlinks>
    <hyperlink ref="H3:L3" r:id="rId1" display="Beregninger utført af Gadsbøll Consulting AS Klik her for at sende e-mail" xr:uid="{AEFF7B7B-4938-444B-B4D2-1E0FDE8273BE}"/>
  </hyperlinks>
  <pageMargins left="0.7" right="0.7" top="0.75" bottom="0.75" header="0.3" footer="0.3"/>
  <pageSetup paperSize="9" orientation="portrait" r:id="rId2"/>
  <ignoredErrors>
    <ignoredError sqref="H22" 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Datagrundlag</vt:lpstr>
      <vt:lpstr>Beregningsark</vt:lpstr>
      <vt:lpstr>Beregningsark!Betingelser</vt:lpstr>
      <vt:lpstr>Beregningsark!Utskriftsområde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2021-07-28T11:11:15Z</dcterms:created>
  <dcterms:modified xsi:type="dcterms:W3CDTF">2023-07-14T11:45:06Z</dcterms:modified>
</cp:coreProperties>
</file>