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P:\STB\CRU\Mobilitet\Grøn Mobilitet\CPH-Electric\Projekter\Elbilviden.dk\Webindhold\Eksisterende sider\1 Privat\2Hvad koster en elbil\Registreringsafgiftværktøj\"/>
    </mc:Choice>
  </mc:AlternateContent>
  <xr:revisionPtr revIDLastSave="0" documentId="13_ncr:1_{A1C3DBD1-CF7E-4BC3-BE53-EC28C13F00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verblik" sheetId="17" r:id="rId1"/>
    <sheet name="2022" sheetId="16" r:id="rId2"/>
    <sheet name="2023" sheetId="2" r:id="rId3"/>
    <sheet name="2024" sheetId="3" r:id="rId4"/>
    <sheet name="2025" sheetId="4" r:id="rId5"/>
    <sheet name="2026" sheetId="5" r:id="rId6"/>
    <sheet name="2027" sheetId="6" r:id="rId7"/>
    <sheet name="2028" sheetId="7" r:id="rId8"/>
    <sheet name="2029" sheetId="8" r:id="rId9"/>
    <sheet name="2030" sheetId="9" r:id="rId10"/>
    <sheet name="2031" sheetId="10" r:id="rId11"/>
    <sheet name="2032" sheetId="11" r:id="rId12"/>
    <sheet name="2033" sheetId="12" r:id="rId13"/>
    <sheet name="2034" sheetId="13" r:id="rId14"/>
    <sheet name="2035" sheetId="14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4" l="1"/>
  <c r="E8" i="3"/>
  <c r="E8" i="14" l="1"/>
  <c r="E8" i="13"/>
  <c r="E8" i="12"/>
  <c r="E8" i="11"/>
  <c r="E8" i="9"/>
  <c r="E8" i="7"/>
  <c r="E8" i="6"/>
  <c r="E8" i="5"/>
  <c r="E10" i="16"/>
  <c r="B18" i="16"/>
  <c r="E17" i="16"/>
  <c r="E11" i="16"/>
  <c r="E13" i="16" s="1"/>
  <c r="E14" i="16" s="1"/>
  <c r="D18" i="16" s="1"/>
  <c r="B19" i="16" s="1"/>
  <c r="E9" i="16"/>
  <c r="E18" i="16" l="1"/>
  <c r="D19" i="16"/>
  <c r="E19" i="16" s="1"/>
  <c r="E8" i="8"/>
  <c r="E8" i="10"/>
  <c r="E20" i="16" l="1"/>
  <c r="E23" i="16" s="1"/>
  <c r="E25" i="16" s="1"/>
  <c r="E29" i="16" s="1"/>
  <c r="E30" i="16" s="1"/>
  <c r="E31" i="16" s="1"/>
  <c r="B2" i="17" s="1"/>
  <c r="E22" i="4"/>
  <c r="E22" i="5" s="1"/>
  <c r="E22" i="6" s="1"/>
  <c r="E22" i="7" s="1"/>
  <c r="E22" i="8" s="1"/>
  <c r="E22" i="9" s="1"/>
  <c r="E22" i="10" s="1"/>
  <c r="E22" i="11" s="1"/>
  <c r="E22" i="12" s="1"/>
  <c r="E22" i="13" s="1"/>
  <c r="E22" i="14" s="1"/>
  <c r="E10" i="14" l="1"/>
  <c r="E10" i="13"/>
  <c r="E10" i="12"/>
  <c r="E10" i="11"/>
  <c r="E10" i="10"/>
  <c r="E10" i="9"/>
  <c r="E10" i="8"/>
  <c r="E10" i="7"/>
  <c r="E10" i="6"/>
  <c r="E10" i="5"/>
  <c r="E10" i="4"/>
  <c r="E10" i="3"/>
  <c r="B18" i="2"/>
  <c r="E17" i="2" l="1"/>
  <c r="E9" i="11" l="1"/>
  <c r="E9" i="9"/>
  <c r="E9" i="8"/>
  <c r="E9" i="6"/>
  <c r="E9" i="4"/>
  <c r="E9" i="3"/>
  <c r="D17" i="4" l="1"/>
  <c r="E9" i="14"/>
  <c r="E9" i="5"/>
  <c r="E9" i="12"/>
  <c r="E9" i="13"/>
  <c r="E9" i="7"/>
  <c r="E9" i="10"/>
  <c r="E11" i="14"/>
  <c r="E13" i="14" s="1"/>
  <c r="E14" i="14" s="1"/>
  <c r="E11" i="13"/>
  <c r="E13" i="13" s="1"/>
  <c r="E14" i="13" s="1"/>
  <c r="E11" i="12"/>
  <c r="E13" i="12" s="1"/>
  <c r="E14" i="12" s="1"/>
  <c r="E11" i="11"/>
  <c r="E13" i="11" s="1"/>
  <c r="E14" i="11" s="1"/>
  <c r="E11" i="10"/>
  <c r="E13" i="10" s="1"/>
  <c r="E14" i="10" s="1"/>
  <c r="E11" i="9"/>
  <c r="E13" i="9" s="1"/>
  <c r="E14" i="9" s="1"/>
  <c r="E11" i="8"/>
  <c r="E13" i="8" s="1"/>
  <c r="E14" i="8" s="1"/>
  <c r="E11" i="7"/>
  <c r="E13" i="7" s="1"/>
  <c r="E14" i="7" s="1"/>
  <c r="E11" i="6"/>
  <c r="E13" i="6" s="1"/>
  <c r="E14" i="6" s="1"/>
  <c r="E11" i="5"/>
  <c r="E13" i="5" s="1"/>
  <c r="E14" i="5" s="1"/>
  <c r="B18" i="4" l="1"/>
  <c r="E17" i="4"/>
  <c r="B18" i="3"/>
  <c r="E17" i="3"/>
  <c r="D17" i="5"/>
  <c r="E11" i="4"/>
  <c r="E13" i="4" s="1"/>
  <c r="E14" i="4" s="1"/>
  <c r="E11" i="3"/>
  <c r="E13" i="3" s="1"/>
  <c r="E14" i="3" s="1"/>
  <c r="E11" i="2"/>
  <c r="E13" i="2" s="1"/>
  <c r="E14" i="2" s="1"/>
  <c r="D18" i="2" s="1"/>
  <c r="D18" i="3" l="1"/>
  <c r="E18" i="2"/>
  <c r="B19" i="2"/>
  <c r="D19" i="2"/>
  <c r="B18" i="5"/>
  <c r="E17" i="5"/>
  <c r="D17" i="6"/>
  <c r="E18" i="3" l="1"/>
  <c r="D18" i="4"/>
  <c r="B19" i="3"/>
  <c r="D19" i="3" s="1"/>
  <c r="E19" i="3" s="1"/>
  <c r="E20" i="3" s="1"/>
  <c r="E23" i="3" s="1"/>
  <c r="E25" i="3" s="1"/>
  <c r="E29" i="3" s="1"/>
  <c r="B18" i="6"/>
  <c r="E17" i="6"/>
  <c r="D17" i="7"/>
  <c r="D18" i="5" l="1"/>
  <c r="B19" i="4"/>
  <c r="D19" i="4" s="1"/>
  <c r="E19" i="4" s="1"/>
  <c r="E18" i="4"/>
  <c r="E30" i="3"/>
  <c r="E31" i="3" s="1"/>
  <c r="B4" i="17" s="1"/>
  <c r="D17" i="8"/>
  <c r="D17" i="9" s="1"/>
  <c r="B18" i="7"/>
  <c r="E17" i="7"/>
  <c r="E20" i="4" l="1"/>
  <c r="E23" i="4" s="1"/>
  <c r="E25" i="4" s="1"/>
  <c r="E29" i="4" s="1"/>
  <c r="E30" i="4" s="1"/>
  <c r="E31" i="4" s="1"/>
  <c r="B5" i="17" s="1"/>
  <c r="D5" i="17" s="1"/>
  <c r="D18" i="6"/>
  <c r="B19" i="5"/>
  <c r="D19" i="5" s="1"/>
  <c r="E19" i="5" s="1"/>
  <c r="E18" i="5"/>
  <c r="C2" i="17"/>
  <c r="C4" i="17"/>
  <c r="B18" i="9"/>
  <c r="E17" i="9"/>
  <c r="B18" i="8"/>
  <c r="E17" i="8"/>
  <c r="D17" i="10"/>
  <c r="C5" i="17" l="1"/>
  <c r="E20" i="5"/>
  <c r="E23" i="5" s="1"/>
  <c r="E25" i="5" s="1"/>
  <c r="E29" i="5" s="1"/>
  <c r="E30" i="5" s="1"/>
  <c r="E31" i="5" s="1"/>
  <c r="B6" i="17" s="1"/>
  <c r="D18" i="7"/>
  <c r="B19" i="6"/>
  <c r="D19" i="6" s="1"/>
  <c r="E19" i="6" s="1"/>
  <c r="E18" i="6"/>
  <c r="E20" i="6" s="1"/>
  <c r="E23" i="6" s="1"/>
  <c r="E25" i="6" s="1"/>
  <c r="E29" i="6" s="1"/>
  <c r="E30" i="6" s="1"/>
  <c r="E31" i="6" s="1"/>
  <c r="B7" i="17" s="1"/>
  <c r="C7" i="17" s="1"/>
  <c r="B18" i="10"/>
  <c r="E17" i="10"/>
  <c r="D17" i="11"/>
  <c r="D7" i="17" l="1"/>
  <c r="D18" i="8"/>
  <c r="B19" i="7"/>
  <c r="D19" i="7" s="1"/>
  <c r="E19" i="7" s="1"/>
  <c r="E18" i="7"/>
  <c r="D6" i="17"/>
  <c r="C6" i="17"/>
  <c r="B18" i="11"/>
  <c r="E17" i="11"/>
  <c r="D17" i="12"/>
  <c r="E20" i="7" l="1"/>
  <c r="E23" i="7" s="1"/>
  <c r="E25" i="7" s="1"/>
  <c r="E29" i="7" s="1"/>
  <c r="E30" i="7" s="1"/>
  <c r="E31" i="7" s="1"/>
  <c r="B8" i="17" s="1"/>
  <c r="D18" i="9"/>
  <c r="B19" i="8"/>
  <c r="D19" i="8" s="1"/>
  <c r="E19" i="8" s="1"/>
  <c r="E18" i="8"/>
  <c r="B18" i="12"/>
  <c r="E17" i="12"/>
  <c r="D17" i="13"/>
  <c r="E20" i="8" l="1"/>
  <c r="E23" i="8" s="1"/>
  <c r="E25" i="8" s="1"/>
  <c r="E29" i="8" s="1"/>
  <c r="E30" i="8" s="1"/>
  <c r="E31" i="8" s="1"/>
  <c r="B9" i="17" s="1"/>
  <c r="D18" i="10"/>
  <c r="B19" i="9"/>
  <c r="D19" i="9" s="1"/>
  <c r="E19" i="9" s="1"/>
  <c r="E18" i="9"/>
  <c r="C8" i="17"/>
  <c r="D8" i="17"/>
  <c r="B18" i="13"/>
  <c r="E17" i="13"/>
  <c r="D17" i="14"/>
  <c r="E20" i="9" l="1"/>
  <c r="E23" i="9" s="1"/>
  <c r="E25" i="9" s="1"/>
  <c r="E29" i="9" s="1"/>
  <c r="E30" i="9" s="1"/>
  <c r="E31" i="9" s="1"/>
  <c r="B10" i="17" s="1"/>
  <c r="C10" i="17" s="1"/>
  <c r="D18" i="11"/>
  <c r="B19" i="10"/>
  <c r="D19" i="10" s="1"/>
  <c r="E19" i="10" s="1"/>
  <c r="E18" i="10"/>
  <c r="E20" i="10" s="1"/>
  <c r="E23" i="10" s="1"/>
  <c r="E25" i="10" s="1"/>
  <c r="E29" i="10" s="1"/>
  <c r="E30" i="10" s="1"/>
  <c r="E31" i="10" s="1"/>
  <c r="B11" i="17" s="1"/>
  <c r="D11" i="17" s="1"/>
  <c r="D9" i="17"/>
  <c r="C9" i="17"/>
  <c r="B18" i="14"/>
  <c r="E17" i="14"/>
  <c r="C11" i="17" l="1"/>
  <c r="D10" i="17"/>
  <c r="D18" i="12"/>
  <c r="B19" i="11"/>
  <c r="D19" i="11" s="1"/>
  <c r="E19" i="11" s="1"/>
  <c r="E18" i="11"/>
  <c r="E20" i="11" s="1"/>
  <c r="E23" i="11" s="1"/>
  <c r="E25" i="11" s="1"/>
  <c r="E29" i="11" s="1"/>
  <c r="E30" i="11" s="1"/>
  <c r="E31" i="11" s="1"/>
  <c r="B12" i="17" s="1"/>
  <c r="C12" i="17" s="1"/>
  <c r="E19" i="2"/>
  <c r="E20" i="2" s="1"/>
  <c r="E23" i="2" s="1"/>
  <c r="E25" i="2" s="1"/>
  <c r="E29" i="2" s="1"/>
  <c r="E30" i="2" s="1"/>
  <c r="E31" i="2" s="1"/>
  <c r="B3" i="17" s="1"/>
  <c r="E9" i="2"/>
  <c r="D12" i="17" l="1"/>
  <c r="D18" i="13"/>
  <c r="B19" i="12"/>
  <c r="D19" i="12" s="1"/>
  <c r="E19" i="12" s="1"/>
  <c r="E18" i="12"/>
  <c r="D3" i="17"/>
  <c r="D4" i="17"/>
  <c r="C3" i="17"/>
  <c r="E20" i="12" l="1"/>
  <c r="E23" i="12" s="1"/>
  <c r="E25" i="12" s="1"/>
  <c r="E29" i="12" s="1"/>
  <c r="E30" i="12" s="1"/>
  <c r="E31" i="12" s="1"/>
  <c r="B13" i="17" s="1"/>
  <c r="D18" i="14"/>
  <c r="B19" i="13"/>
  <c r="D19" i="13" s="1"/>
  <c r="E19" i="13" s="1"/>
  <c r="E18" i="13"/>
  <c r="E20" i="13" l="1"/>
  <c r="E23" i="13" s="1"/>
  <c r="E25" i="13" s="1"/>
  <c r="E29" i="13" s="1"/>
  <c r="E30" i="13" s="1"/>
  <c r="E31" i="13" s="1"/>
  <c r="B14" i="17" s="1"/>
  <c r="C14" i="17" s="1"/>
  <c r="C13" i="17"/>
  <c r="D13" i="17"/>
  <c r="D14" i="17"/>
  <c r="B19" i="14"/>
  <c r="D19" i="14" s="1"/>
  <c r="E19" i="14" s="1"/>
  <c r="E18" i="14"/>
  <c r="E20" i="14" l="1"/>
  <c r="E23" i="14" s="1"/>
  <c r="E25" i="14" s="1"/>
  <c r="E29" i="14" s="1"/>
  <c r="E30" i="14" s="1"/>
  <c r="E31" i="14" s="1"/>
  <c r="B15" i="17" s="1"/>
  <c r="C15" i="17" l="1"/>
  <c r="D15" i="17"/>
</calcChain>
</file>

<file path=xl/sharedStrings.xml><?xml version="1.0" encoding="utf-8"?>
<sst xmlns="http://schemas.openxmlformats.org/spreadsheetml/2006/main" count="452" uniqueCount="57">
  <si>
    <t>Beregning af elbilers registreringsafgift</t>
  </si>
  <si>
    <t>Samlet batterifradrag</t>
  </si>
  <si>
    <t>Pris efter fradrag</t>
  </si>
  <si>
    <t>Afgifter</t>
  </si>
  <si>
    <t>Moms</t>
  </si>
  <si>
    <t xml:space="preserve">Bundfradrag for alle personbiler </t>
  </si>
  <si>
    <t>Afgift efter bundfradrag</t>
  </si>
  <si>
    <t>Samlet afgift</t>
  </si>
  <si>
    <t>Afgiftspligtig værdi</t>
  </si>
  <si>
    <t>Afgiftsfradrag</t>
  </si>
  <si>
    <t>Afgift i alt</t>
  </si>
  <si>
    <t>Pris inkl. moms og afgifter</t>
  </si>
  <si>
    <t>Batteristørrelse (kWh)</t>
  </si>
  <si>
    <t>Batterifradrag pr kWh (Max. 45 kWh)</t>
  </si>
  <si>
    <t>Batteristørrelse som medregnes (kWh)</t>
  </si>
  <si>
    <t>Elbilafgift 2023 (%)</t>
  </si>
  <si>
    <t>Bundfradrag for elbiler 2023</t>
  </si>
  <si>
    <t>Bundfradrag for elbiler 2024</t>
  </si>
  <si>
    <t>Elbilafgift 2024 (%)</t>
  </si>
  <si>
    <t>Bundfradrag for elbiler 2025</t>
  </si>
  <si>
    <t>Elbilafgift 2025 (%)</t>
  </si>
  <si>
    <t>Bundfradrag for elbiler 2027</t>
  </si>
  <si>
    <t>Elbilafgift 2027 (%)</t>
  </si>
  <si>
    <t>Bundfradrag for elbiler 2026</t>
  </si>
  <si>
    <t>Elbilafgift 2026 (%)</t>
  </si>
  <si>
    <t>Elbilafgift 2028 (%)</t>
  </si>
  <si>
    <t>Bundfradrag for elbiler 2028</t>
  </si>
  <si>
    <t>Bundfradrag for elbiler 2029</t>
  </si>
  <si>
    <t>Elbilafgift 2029 (%)</t>
  </si>
  <si>
    <t>Elbilafgift 2030 (%)</t>
  </si>
  <si>
    <t>Bundfradrag for elbiler 2030</t>
  </si>
  <si>
    <t>Bundfradrag for elbiler 2031</t>
  </si>
  <si>
    <t>Elbilafgift 2031 (%)</t>
  </si>
  <si>
    <t>Bundfradrag for elbiler 2032</t>
  </si>
  <si>
    <t>Elbilafgift 2032 (%)</t>
  </si>
  <si>
    <t>Bundfradrag for elbiler 2033</t>
  </si>
  <si>
    <t>Elbilafgift 2033 (%)</t>
  </si>
  <si>
    <t>Bundfradrag for elbiler 2034</t>
  </si>
  <si>
    <t>Elbilafgift 2034 (%)</t>
  </si>
  <si>
    <t>Bundfradrag for elbiler 2035</t>
  </si>
  <si>
    <t>Elbilafgift 2035 (%)</t>
  </si>
  <si>
    <t>Læse vejledning:</t>
  </si>
  <si>
    <t>Låste vædier =</t>
  </si>
  <si>
    <t>Felter, hvor du skal indtaste værdier =</t>
  </si>
  <si>
    <t>Felter, hvor udregninger finder sted på baggrund af intastede og låste værdier =</t>
  </si>
  <si>
    <t>85% af:</t>
  </si>
  <si>
    <t>150% af:</t>
  </si>
  <si>
    <t>Til</t>
  </si>
  <si>
    <t>25% af:</t>
  </si>
  <si>
    <t>Spørgsmål til beregningen?</t>
  </si>
  <si>
    <t>Data på elbiler</t>
  </si>
  <si>
    <t>Bilens afgiftspligtige værdi inkl. moms</t>
  </si>
  <si>
    <t>Find elbilernes pris og batteristørrelse til beregning på FDMs bilkatalog her:</t>
  </si>
  <si>
    <t>Årstal</t>
  </si>
  <si>
    <t>Difference ift. 2024</t>
  </si>
  <si>
    <t>Difference ift. forgangne år</t>
  </si>
  <si>
    <t>Har du spørgsmål til beregningen kan du henvende dig til elbilviden@gate21.dk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</si>
</sst>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.&quot;_-;\-* #,##0.00\ &quot;kr.&quot;_-;_-* &quot;-&quot;??\ &quot;kr.&quot;_-;_-@_-"/>
    <numFmt numFmtId="164" formatCode="#,##0\ &quot;kr.&quot;"/>
    <numFmt numFmtId="165" formatCode="_-* #,##0\ &quot;kr.&quot;_-;\-* #,##0\ &quot;kr.&quot;_-;_-* &quot;-&quot;??\ &quot;kr.&quot;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8C60"/>
        <bgColor indexed="64"/>
      </patternFill>
    </fill>
    <fill>
      <patternFill patternType="solid">
        <fgColor rgb="FF009163"/>
        <bgColor indexed="64"/>
      </patternFill>
    </fill>
    <fill>
      <patternFill patternType="solid">
        <fgColor rgb="FFC8555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54">
    <xf numFmtId="0" fontId="0" fillId="0" borderId="0" xfId="0"/>
    <xf numFmtId="164" fontId="0" fillId="0" borderId="0" xfId="0" applyNumberForma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0" xfId="0" applyFill="1" applyBorder="1"/>
    <xf numFmtId="164" fontId="0" fillId="0" borderId="1" xfId="0" applyNumberFormat="1" applyBorder="1"/>
    <xf numFmtId="0" fontId="1" fillId="0" borderId="1" xfId="0" applyFont="1" applyBorder="1"/>
    <xf numFmtId="0" fontId="0" fillId="0" borderId="0" xfId="0" applyFill="1"/>
    <xf numFmtId="44" fontId="0" fillId="0" borderId="0" xfId="0" applyNumberFormat="1"/>
    <xf numFmtId="0" fontId="0" fillId="0" borderId="0" xfId="0" applyBorder="1"/>
    <xf numFmtId="0" fontId="4" fillId="0" borderId="0" xfId="0" applyFont="1" applyFill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7" fillId="0" borderId="1" xfId="2" applyBorder="1"/>
    <xf numFmtId="0" fontId="0" fillId="2" borderId="1" xfId="0" applyFill="1" applyBorder="1"/>
    <xf numFmtId="164" fontId="0" fillId="2" borderId="1" xfId="0" applyNumberFormat="1" applyFill="1" applyBorder="1"/>
    <xf numFmtId="164" fontId="1" fillId="2" borderId="1" xfId="0" applyNumberFormat="1" applyFont="1" applyFill="1" applyBorder="1"/>
    <xf numFmtId="0" fontId="0" fillId="2" borderId="1" xfId="0" applyFill="1" applyBorder="1" applyAlignment="1">
      <alignment horizontal="right"/>
    </xf>
    <xf numFmtId="44" fontId="0" fillId="2" borderId="1" xfId="1" applyFont="1" applyFill="1" applyBorder="1"/>
    <xf numFmtId="165" fontId="0" fillId="2" borderId="1" xfId="1" applyNumberFormat="1" applyFont="1" applyFill="1" applyBorder="1" applyAlignment="1">
      <alignment horizontal="center"/>
    </xf>
    <xf numFmtId="165" fontId="0" fillId="2" borderId="1" xfId="1" applyNumberFormat="1" applyFont="1" applyFill="1" applyBorder="1"/>
    <xf numFmtId="164" fontId="0" fillId="2" borderId="1" xfId="1" applyNumberFormat="1" applyFont="1" applyFill="1" applyBorder="1" applyAlignment="1">
      <alignment horizontal="center"/>
    </xf>
    <xf numFmtId="0" fontId="1" fillId="2" borderId="1" xfId="0" applyFont="1" applyFill="1" applyBorder="1"/>
    <xf numFmtId="0" fontId="0" fillId="3" borderId="1" xfId="0" applyFill="1" applyBorder="1"/>
    <xf numFmtId="164" fontId="0" fillId="3" borderId="1" xfId="0" applyNumberFormat="1" applyFill="1" applyBorder="1"/>
    <xf numFmtId="164" fontId="1" fillId="3" borderId="1" xfId="0" applyNumberFormat="1" applyFont="1" applyFill="1" applyBorder="1"/>
    <xf numFmtId="0" fontId="0" fillId="3" borderId="1" xfId="0" applyFill="1" applyBorder="1" applyAlignment="1">
      <alignment horizontal="right"/>
    </xf>
    <xf numFmtId="44" fontId="0" fillId="3" borderId="1" xfId="1" applyFont="1" applyFill="1" applyBorder="1"/>
    <xf numFmtId="165" fontId="0" fillId="3" borderId="1" xfId="1" applyNumberFormat="1" applyFont="1" applyFill="1" applyBorder="1" applyAlignment="1">
      <alignment horizontal="center"/>
    </xf>
    <xf numFmtId="165" fontId="0" fillId="3" borderId="1" xfId="1" applyNumberFormat="1" applyFont="1" applyFill="1" applyBorder="1"/>
    <xf numFmtId="164" fontId="0" fillId="3" borderId="1" xfId="1" applyNumberFormat="1" applyFont="1" applyFill="1" applyBorder="1" applyAlignment="1">
      <alignment horizontal="center"/>
    </xf>
    <xf numFmtId="0" fontId="1" fillId="3" borderId="1" xfId="0" applyFont="1" applyFill="1" applyBorder="1"/>
    <xf numFmtId="1" fontId="0" fillId="3" borderId="1" xfId="0" applyNumberFormat="1" applyFill="1" applyBorder="1"/>
    <xf numFmtId="164" fontId="5" fillId="3" borderId="1" xfId="0" applyNumberFormat="1" applyFont="1" applyFill="1" applyBorder="1"/>
    <xf numFmtId="0" fontId="0" fillId="4" borderId="1" xfId="0" applyFill="1" applyBorder="1"/>
    <xf numFmtId="1" fontId="0" fillId="4" borderId="1" xfId="0" applyNumberFormat="1" applyFill="1" applyBorder="1"/>
    <xf numFmtId="164" fontId="0" fillId="4" borderId="1" xfId="0" applyNumberFormat="1" applyFill="1" applyBorder="1"/>
    <xf numFmtId="1" fontId="0" fillId="2" borderId="1" xfId="0" applyNumberFormat="1" applyFill="1" applyBorder="1"/>
    <xf numFmtId="164" fontId="5" fillId="2" borderId="1" xfId="0" applyNumberFormat="1" applyFont="1" applyFill="1" applyBorder="1"/>
    <xf numFmtId="0" fontId="4" fillId="4" borderId="1" xfId="0" applyFont="1" applyFill="1" applyBorder="1"/>
    <xf numFmtId="0" fontId="0" fillId="5" borderId="1" xfId="0" applyFill="1" applyBorder="1"/>
    <xf numFmtId="164" fontId="0" fillId="5" borderId="1" xfId="0" applyNumberFormat="1" applyFill="1" applyBorder="1"/>
    <xf numFmtId="1" fontId="0" fillId="5" borderId="1" xfId="0" applyNumberFormat="1" applyFill="1" applyBorder="1"/>
    <xf numFmtId="0" fontId="0" fillId="0" borderId="0" xfId="0" applyBorder="1" applyAlignment="1"/>
    <xf numFmtId="0" fontId="7" fillId="0" borderId="0" xfId="2" applyBorder="1" applyAlignment="1"/>
    <xf numFmtId="0" fontId="2" fillId="0" borderId="1" xfId="0" applyFont="1" applyBorder="1" applyAlignment="1">
      <alignment horizontal="center"/>
    </xf>
    <xf numFmtId="0" fontId="1" fillId="6" borderId="1" xfId="0" applyFont="1" applyFill="1" applyBorder="1"/>
    <xf numFmtId="165" fontId="1" fillId="6" borderId="1" xfId="1" applyNumberFormat="1" applyFont="1" applyFill="1" applyBorder="1"/>
    <xf numFmtId="165" fontId="0" fillId="0" borderId="1" xfId="1" applyNumberFormat="1" applyFont="1" applyBorder="1"/>
    <xf numFmtId="165" fontId="0" fillId="0" borderId="1" xfId="0" applyNumberFormat="1" applyBorder="1"/>
    <xf numFmtId="0" fontId="0" fillId="0" borderId="1" xfId="0" applyBorder="1" applyAlignment="1">
      <alignment horizontal="center"/>
    </xf>
    <xf numFmtId="164" fontId="0" fillId="5" borderId="1" xfId="0" applyNumberFormat="1" applyFill="1" applyBorder="1" applyProtection="1">
      <protection locked="0"/>
    </xf>
    <xf numFmtId="1" fontId="0" fillId="5" borderId="1" xfId="0" applyNumberFormat="1" applyFill="1" applyBorder="1" applyProtection="1">
      <protection locked="0"/>
    </xf>
  </cellXfs>
  <cellStyles count="3">
    <cellStyle name="Li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C85555"/>
      <color rgb="FF009163"/>
      <color rgb="FF008C60"/>
      <color rgb="FFF477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https://elbilviden.dk/bilkatalog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fdm.dk/elbiler/" TargetMode="Externa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fdm.dk/elbiler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elbilviden.dk/privat/hvad-koster-en-elbil/registreringsafgift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B78E9-4C07-486C-A854-3072A087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63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1B27B7-83A0-42FB-A64B-741144078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F9E530-F88D-4FB9-901E-63738DB6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91375C-4853-4509-AE32-798372ACF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A6E60D-D373-450D-A2E6-080F405F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9A8BAB-F2A3-4ABE-9F72-8E80F83D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10B87E-2D1F-4239-B2E3-1B3BA016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F43A1B-9EF7-451F-A217-F96AD2BFD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5" name="Billed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7FD976-287D-4212-9765-D8BDFB80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6" name="Billed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7F811-554F-4002-9902-E19D7FF7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B9BE9-DC28-4E14-B9B2-9E8F5A57E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404CC9-3D6A-4741-9FA6-1FDDF02C4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BA9737-0D74-4503-90EC-0D521CD6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4A540C-ACAB-4335-BF98-8F50FF9A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9D86AA-9960-4989-B956-BDFDF8185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AFDFE0-A597-4CD0-AB42-C5A5C2B5B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245FAB-E4C3-475F-9B8F-1055D64D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894D95-21B1-4FE1-B4BE-4DABE022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2476A9-FD14-4FE2-B9C9-E0EA1897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3CAC3D-663C-4D27-9ACE-A9786D48B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65CDE-B8C0-4059-95C2-9791E079F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778212-A5BB-4D66-ACE8-13FF41C9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B9D9CE-1E15-4713-8880-8CEE79DED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5A5A821-75A7-4A71-A6FD-0BEC570A1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879F0-AA13-4C7F-BA91-4A9F59B3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2" name="Billed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6FB95B-BC6A-223C-A766-571C5EB4F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7" name="Billed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4701AF-EFE9-40FB-B209-732B8869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8" name="Billed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23E561-AC0F-4420-AF82-93EEFECB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96310E-4111-466C-9BF7-A0F4D39D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01C15E-BB50-4A65-8F66-1CDA5B9AD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B3345B-5D91-45DF-B4B0-87BD693BC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ED968C-5AF8-40B6-9040-986C227B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FDF115-BCA2-440E-B958-CACAC71F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376CE1-EF75-4FB1-B5E4-24690FFD0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AC92A8-EBC3-4206-914E-FAB195378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AC67CF-A1B6-400C-A053-7302A5A8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D22AB-7B33-422C-AA11-CEB3F90B6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ED7FE2-9137-4978-A3C7-6C33A37AD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F623E-5594-46EE-8D4F-7E027534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32AA34-613D-4573-97CC-6B91D8F1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511C4-ED98-4A9E-8463-0DC611CB1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A6852F-A61D-417B-9C04-EE68C8F6B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78757-2477-4620-9131-FB25D636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5BDF42-1C61-4A76-B67D-D26F1DD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003DB-22B2-4D5C-B4EB-F863DBDC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BE88D3-6331-4240-BDDB-05F6FA944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6BC19A-C901-4612-B877-A1BBB10C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C19AD0-17E2-4347-85ED-364F9402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22181C-5836-474A-BAB5-8F7DFF34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F42C78F-F4A3-4F21-8B71-89C0D6193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1003080</xdr:colOff>
      <xdr:row>21</xdr:row>
      <xdr:rowOff>0</xdr:rowOff>
    </xdr:from>
    <xdr:to>
      <xdr:col>6</xdr:col>
      <xdr:colOff>4223301</xdr:colOff>
      <xdr:row>31</xdr:row>
      <xdr:rowOff>3279</xdr:rowOff>
    </xdr:to>
    <xdr:pic>
      <xdr:nvPicPr>
        <xdr:cNvPr id="4" name="Billed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2AE0E5-CF5F-40E3-9907-CBF6F9BD4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680" y="4191000"/>
          <a:ext cx="3220221" cy="190827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</xdr:row>
      <xdr:rowOff>5584</xdr:rowOff>
    </xdr:from>
    <xdr:to>
      <xdr:col>6</xdr:col>
      <xdr:colOff>5110655</xdr:colOff>
      <xdr:row>19</xdr:row>
      <xdr:rowOff>183931</xdr:rowOff>
    </xdr:to>
    <xdr:pic>
      <xdr:nvPicPr>
        <xdr:cNvPr id="5" name="Billed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E5992B-7917-4A8A-9F7D-3DCB6CC4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1148584"/>
          <a:ext cx="5101129" cy="28453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</xdr:colOff>
      <xdr:row>17</xdr:row>
      <xdr:rowOff>173228</xdr:rowOff>
    </xdr:from>
    <xdr:to>
      <xdr:col>6</xdr:col>
      <xdr:colOff>5114924</xdr:colOff>
      <xdr:row>31</xdr:row>
      <xdr:rowOff>3280</xdr:rowOff>
    </xdr:to>
    <xdr:pic>
      <xdr:nvPicPr>
        <xdr:cNvPr id="2" name="Bille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35E7DC-7F49-4164-8851-02FC16F41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02228"/>
          <a:ext cx="5105399" cy="24970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9525</xdr:colOff>
      <xdr:row>5</xdr:row>
      <xdr:rowOff>9525</xdr:rowOff>
    </xdr:from>
    <xdr:to>
      <xdr:col>7</xdr:col>
      <xdr:colOff>0</xdr:colOff>
      <xdr:row>17</xdr:row>
      <xdr:rowOff>171450</xdr:rowOff>
    </xdr:to>
    <xdr:pic>
      <xdr:nvPicPr>
        <xdr:cNvPr id="3" name="Bille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9E2400-72CF-4EA9-A412-F29FA2D9F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11" b="3857"/>
        <a:stretch/>
      </xdr:blipFill>
      <xdr:spPr>
        <a:xfrm>
          <a:off x="8601075" y="1152525"/>
          <a:ext cx="5105400" cy="2447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elbilviden@gate21.dk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elbilviden@gate21.dk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elbilviden@gate21.dk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elbilviden@gate21.dk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elbilviden@gate21.dk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lbilviden@gate21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elbilviden@gate21.dk" TargetMode="External"/><Relationship Id="rId1" Type="http://schemas.openxmlformats.org/officeDocument/2006/relationships/hyperlink" Target="https://elbilviden.dk/bilkatalog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elbilviden@gate21.dk" TargetMode="External"/><Relationship Id="rId1" Type="http://schemas.openxmlformats.org/officeDocument/2006/relationships/hyperlink" Target="https://elbilviden.dk/bilkatalog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elbilviden@gate21.d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elbilviden@gate21.d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elbilviden@gate21.dk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elbilviden@gate21.dk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elbilviden@gate21.dk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elbilviden@gate21.d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DA56-189A-4138-9B41-77D8654A1194}">
  <dimension ref="A1:D15"/>
  <sheetViews>
    <sheetView showGridLines="0" tabSelected="1" workbookViewId="0">
      <selection activeCell="D31" sqref="D31"/>
    </sheetView>
  </sheetViews>
  <sheetFormatPr defaultRowHeight="15" x14ac:dyDescent="0.25"/>
  <cols>
    <col min="1" max="1" width="6.140625" bestFit="1" customWidth="1"/>
    <col min="2" max="2" width="24.42578125" bestFit="1" customWidth="1"/>
    <col min="3" max="3" width="18.140625" bestFit="1" customWidth="1"/>
    <col min="4" max="4" width="25.5703125" bestFit="1" customWidth="1"/>
  </cols>
  <sheetData>
    <row r="1" spans="1:4" x14ac:dyDescent="0.25">
      <c r="A1" s="12" t="s">
        <v>53</v>
      </c>
      <c r="B1" s="47" t="s">
        <v>11</v>
      </c>
      <c r="C1" s="7" t="s">
        <v>54</v>
      </c>
      <c r="D1" s="7" t="s">
        <v>55</v>
      </c>
    </row>
    <row r="2" spans="1:4" x14ac:dyDescent="0.25">
      <c r="A2" s="51">
        <v>2022</v>
      </c>
      <c r="B2" s="48">
        <f>'2022'!E31</f>
        <v>400000</v>
      </c>
      <c r="C2" s="50">
        <f t="shared" ref="C2:C14" si="0">B2-$B$4</f>
        <v>0</v>
      </c>
      <c r="D2" s="3"/>
    </row>
    <row r="3" spans="1:4" x14ac:dyDescent="0.25">
      <c r="A3" s="51">
        <v>2023</v>
      </c>
      <c r="B3" s="49">
        <f>'2023'!E31</f>
        <v>400000</v>
      </c>
      <c r="C3" s="50">
        <f t="shared" si="0"/>
        <v>0</v>
      </c>
      <c r="D3" s="50">
        <f>B3-B2</f>
        <v>0</v>
      </c>
    </row>
    <row r="4" spans="1:4" x14ac:dyDescent="0.25">
      <c r="A4" s="51">
        <v>2024</v>
      </c>
      <c r="B4" s="49">
        <f>'2024'!E31</f>
        <v>400000</v>
      </c>
      <c r="C4" s="50">
        <f t="shared" si="0"/>
        <v>0</v>
      </c>
      <c r="D4" s="50">
        <f t="shared" ref="D4:D15" si="1">B4-B3</f>
        <v>0</v>
      </c>
    </row>
    <row r="5" spans="1:4" x14ac:dyDescent="0.25">
      <c r="A5" s="51">
        <v>2025</v>
      </c>
      <c r="B5" s="49">
        <f>'2025'!E31</f>
        <v>400000</v>
      </c>
      <c r="C5" s="50">
        <f t="shared" si="0"/>
        <v>0</v>
      </c>
      <c r="D5" s="50">
        <f t="shared" si="1"/>
        <v>0</v>
      </c>
    </row>
    <row r="6" spans="1:4" x14ac:dyDescent="0.25">
      <c r="A6" s="51">
        <v>2026</v>
      </c>
      <c r="B6" s="49">
        <f>'2026'!E31</f>
        <v>428066.17450000002</v>
      </c>
      <c r="C6" s="50">
        <f t="shared" si="0"/>
        <v>28066.174500000023</v>
      </c>
      <c r="D6" s="50">
        <f t="shared" si="1"/>
        <v>28066.174500000023</v>
      </c>
    </row>
    <row r="7" spans="1:4" x14ac:dyDescent="0.25">
      <c r="A7" s="51">
        <v>2027</v>
      </c>
      <c r="B7" s="49">
        <f>'2027'!E31</f>
        <v>460194.96700625005</v>
      </c>
      <c r="C7" s="50">
        <f t="shared" si="0"/>
        <v>60194.967006250052</v>
      </c>
      <c r="D7" s="50">
        <f t="shared" si="1"/>
        <v>32128.792506250029</v>
      </c>
    </row>
    <row r="8" spans="1:4" x14ac:dyDescent="0.25">
      <c r="A8" s="51">
        <v>2028</v>
      </c>
      <c r="B8" s="49">
        <f>'2028'!E31</f>
        <v>491365.53277875006</v>
      </c>
      <c r="C8" s="50">
        <f t="shared" si="0"/>
        <v>91365.532778750057</v>
      </c>
      <c r="D8" s="50">
        <f t="shared" si="1"/>
        <v>31170.565772500006</v>
      </c>
    </row>
    <row r="9" spans="1:4" x14ac:dyDescent="0.25">
      <c r="A9" s="51">
        <v>2029</v>
      </c>
      <c r="B9" s="49">
        <f>'2029'!E31</f>
        <v>521542.75498549617</v>
      </c>
      <c r="C9" s="50">
        <f t="shared" si="0"/>
        <v>121542.75498549617</v>
      </c>
      <c r="D9" s="50">
        <f t="shared" si="1"/>
        <v>30177.222206746112</v>
      </c>
    </row>
    <row r="10" spans="1:4" x14ac:dyDescent="0.25">
      <c r="A10" s="51">
        <v>2030</v>
      </c>
      <c r="B10" s="49">
        <f>'2030'!E31</f>
        <v>550690.35984459287</v>
      </c>
      <c r="C10" s="50">
        <f t="shared" si="0"/>
        <v>150690.35984459287</v>
      </c>
      <c r="D10" s="50">
        <f t="shared" si="1"/>
        <v>29147.604859096697</v>
      </c>
    </row>
    <row r="11" spans="1:4" x14ac:dyDescent="0.25">
      <c r="A11" s="51">
        <v>2031</v>
      </c>
      <c r="B11" s="49">
        <f>'2031'!E31</f>
        <v>560026.74978274317</v>
      </c>
      <c r="C11" s="50">
        <f t="shared" si="0"/>
        <v>160026.74978274317</v>
      </c>
      <c r="D11" s="50">
        <f t="shared" si="1"/>
        <v>9336.3899381502997</v>
      </c>
    </row>
    <row r="12" spans="1:4" x14ac:dyDescent="0.25">
      <c r="A12" s="51">
        <v>2032</v>
      </c>
      <c r="B12" s="49">
        <f>'2032'!E31</f>
        <v>568750.15274289809</v>
      </c>
      <c r="C12" s="50">
        <f t="shared" si="0"/>
        <v>168750.15274289809</v>
      </c>
      <c r="D12" s="50">
        <f t="shared" si="1"/>
        <v>8723.4029601549264</v>
      </c>
    </row>
    <row r="13" spans="1:4" x14ac:dyDescent="0.25">
      <c r="A13" s="51">
        <v>2033</v>
      </c>
      <c r="B13" s="49">
        <f>'2033'!E31</f>
        <v>576839.08413244644</v>
      </c>
      <c r="C13" s="50">
        <f t="shared" si="0"/>
        <v>176839.08413244644</v>
      </c>
      <c r="D13" s="50">
        <f t="shared" si="1"/>
        <v>8088.9313895483501</v>
      </c>
    </row>
    <row r="14" spans="1:4" x14ac:dyDescent="0.25">
      <c r="A14" s="51">
        <v>2034</v>
      </c>
      <c r="B14" s="49">
        <f>'2034'!E31</f>
        <v>584271.36824600794</v>
      </c>
      <c r="C14" s="50">
        <f t="shared" si="0"/>
        <v>184271.36824600794</v>
      </c>
      <c r="D14" s="50">
        <f t="shared" si="1"/>
        <v>7432.2841135615017</v>
      </c>
    </row>
    <row r="15" spans="1:4" x14ac:dyDescent="0.25">
      <c r="A15" s="51">
        <v>2035</v>
      </c>
      <c r="B15" s="49">
        <f>'2035'!E31</f>
        <v>591024.1171376647</v>
      </c>
      <c r="C15" s="50">
        <f>B15-$B$4</f>
        <v>191024.1171376647</v>
      </c>
      <c r="D15" s="50">
        <f t="shared" si="1"/>
        <v>6752.7488916567527</v>
      </c>
    </row>
  </sheetData>
  <sheetProtection sheet="1" objects="1" scenarios="1" select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C7D85-18EC-4A23-AB92-3E2AED781DFA}">
  <dimension ref="A1:G32"/>
  <sheetViews>
    <sheetView showGridLines="0" workbookViewId="0">
      <selection activeCell="G1" sqref="G1:G2"/>
    </sheetView>
  </sheetViews>
  <sheetFormatPr defaultColWidth="11.285156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1.8554687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'2029'!D17*1.025</f>
        <v>81410.477958544885</v>
      </c>
      <c r="E17" s="25">
        <f>(D17-B17)*0.25</f>
        <v>20352.619489636221</v>
      </c>
    </row>
    <row r="18" spans="1:5" x14ac:dyDescent="0.25">
      <c r="A18" s="27" t="s">
        <v>45</v>
      </c>
      <c r="B18" s="30">
        <f>D17</f>
        <v>81410.477958544885</v>
      </c>
      <c r="C18" s="28" t="s">
        <v>47</v>
      </c>
      <c r="D18" s="29">
        <f>IF(E14&lt;('2029'!D18*1.025),E14, ('2029'!D18*1.025))</f>
        <v>252929.13451223125</v>
      </c>
      <c r="E18" s="25">
        <f>(D18-B18)*0.85</f>
        <v>145790.8580706334</v>
      </c>
    </row>
    <row r="19" spans="1:5" x14ac:dyDescent="0.25">
      <c r="A19" s="27" t="s">
        <v>46</v>
      </c>
      <c r="B19" s="30">
        <f>D18</f>
        <v>252929.13451223125</v>
      </c>
      <c r="C19" s="28" t="s">
        <v>47</v>
      </c>
      <c r="D19" s="31">
        <f>IF(E14&lt;B19,B19,E14)</f>
        <v>400000</v>
      </c>
      <c r="E19" s="25">
        <f>(D19-B19)*1.5</f>
        <v>220606.29823165311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386749.7757919227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'2029'!E22*1.025</f>
        <v>27136.825986181626</v>
      </c>
    </row>
    <row r="23" spans="1:5" x14ac:dyDescent="0.25">
      <c r="A23" s="24" t="s">
        <v>6</v>
      </c>
      <c r="B23" s="24"/>
      <c r="C23" s="24"/>
      <c r="D23" s="24"/>
      <c r="E23" s="25">
        <f>E20-E22</f>
        <v>359612.94980574108</v>
      </c>
    </row>
    <row r="24" spans="1:5" x14ac:dyDescent="0.25">
      <c r="A24" s="24" t="s">
        <v>29</v>
      </c>
      <c r="B24" s="24"/>
      <c r="C24" s="24"/>
      <c r="D24" s="24"/>
      <c r="E24" s="33">
        <v>80</v>
      </c>
    </row>
    <row r="25" spans="1:5" x14ac:dyDescent="0.25">
      <c r="A25" s="32" t="s">
        <v>8</v>
      </c>
      <c r="B25" s="24"/>
      <c r="C25" s="24"/>
      <c r="D25" s="24"/>
      <c r="E25" s="26">
        <f>E23/100*E24</f>
        <v>287690.35984459287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30</v>
      </c>
      <c r="B28" s="35"/>
      <c r="C28" s="35"/>
      <c r="D28" s="35"/>
      <c r="E28" s="37">
        <v>137000</v>
      </c>
    </row>
    <row r="29" spans="1:5" x14ac:dyDescent="0.25">
      <c r="A29" s="24" t="s">
        <v>10</v>
      </c>
      <c r="B29" s="24"/>
      <c r="C29" s="24"/>
      <c r="D29" s="24"/>
      <c r="E29" s="25">
        <f>E25-E28</f>
        <v>150690.35984459287</v>
      </c>
    </row>
    <row r="30" spans="1:5" x14ac:dyDescent="0.25">
      <c r="A30" s="24"/>
      <c r="B30" s="24"/>
      <c r="C30" s="24"/>
      <c r="D30" s="24"/>
      <c r="E30" s="25">
        <f>IF(E29&lt;0,0,E29)</f>
        <v>150690.35984459287</v>
      </c>
    </row>
    <row r="31" spans="1:5" x14ac:dyDescent="0.25">
      <c r="A31" s="32" t="s">
        <v>11</v>
      </c>
      <c r="B31" s="24"/>
      <c r="C31" s="24"/>
      <c r="D31" s="24"/>
      <c r="E31" s="34">
        <f>E8+E30</f>
        <v>550690.35984459287</v>
      </c>
    </row>
    <row r="32" spans="1:5" x14ac:dyDescent="0.25">
      <c r="A32" s="1"/>
    </row>
  </sheetData>
  <sheetProtection sheet="1" objects="1" scenarios="1" selectLockedCells="1"/>
  <hyperlinks>
    <hyperlink ref="G2" r:id="rId1" xr:uid="{11BA0945-DACA-4D5F-8581-7EF661EE5C9F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6C357-6EC5-4E60-A2A6-BB9C0692C58D}">
  <dimension ref="A1:G32"/>
  <sheetViews>
    <sheetView showGridLines="0" workbookViewId="0">
      <selection activeCell="G1" sqref="G1:G2"/>
    </sheetView>
  </sheetViews>
  <sheetFormatPr defaultColWidth="13.285156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2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G4" s="12" t="s">
        <v>50</v>
      </c>
    </row>
    <row r="5" spans="1:7" x14ac:dyDescent="0.25">
      <c r="A5" s="4" t="s">
        <v>43</v>
      </c>
      <c r="B5" s="41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'2030'!D17*1.025</f>
        <v>83445.739907508498</v>
      </c>
      <c r="E17" s="25">
        <f>(D17-B17)*0.25</f>
        <v>20861.434976877124</v>
      </c>
    </row>
    <row r="18" spans="1:5" x14ac:dyDescent="0.25">
      <c r="A18" s="27" t="s">
        <v>45</v>
      </c>
      <c r="B18" s="30">
        <f>D17</f>
        <v>83445.739907508498</v>
      </c>
      <c r="C18" s="28" t="s">
        <v>47</v>
      </c>
      <c r="D18" s="29">
        <f>IF(E14&lt;('2030'!D18*1.025),E14, ('2030'!D18*1.025))</f>
        <v>259252.36287503701</v>
      </c>
      <c r="E18" s="25">
        <f>(D18-B18)*0.85</f>
        <v>149435.62952239925</v>
      </c>
    </row>
    <row r="19" spans="1:5" x14ac:dyDescent="0.25">
      <c r="A19" s="27" t="s">
        <v>46</v>
      </c>
      <c r="B19" s="30">
        <f>D18</f>
        <v>259252.36287503701</v>
      </c>
      <c r="C19" s="28" t="s">
        <v>47</v>
      </c>
      <c r="D19" s="31">
        <f>IF(E14&lt;B19,B19,E14)</f>
        <v>400000</v>
      </c>
      <c r="E19" s="25">
        <f>(D19-B19)*1.5</f>
        <v>211121.45568744448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381418.52018672088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'2030'!E22*1.025</f>
        <v>27815.246635836163</v>
      </c>
    </row>
    <row r="23" spans="1:5" x14ac:dyDescent="0.25">
      <c r="A23" s="24" t="s">
        <v>6</v>
      </c>
      <c r="B23" s="24"/>
      <c r="C23" s="24"/>
      <c r="D23" s="24"/>
      <c r="E23" s="25">
        <f>E20-E22</f>
        <v>353603.27355088474</v>
      </c>
    </row>
    <row r="24" spans="1:5" x14ac:dyDescent="0.25">
      <c r="A24" s="24" t="s">
        <v>32</v>
      </c>
      <c r="B24" s="24"/>
      <c r="C24" s="24"/>
      <c r="D24" s="24"/>
      <c r="E24" s="33">
        <v>84</v>
      </c>
    </row>
    <row r="25" spans="1:5" x14ac:dyDescent="0.25">
      <c r="A25" s="32" t="s">
        <v>8</v>
      </c>
      <c r="B25" s="24"/>
      <c r="C25" s="24"/>
      <c r="D25" s="24"/>
      <c r="E25" s="26">
        <f>E23/100*E24</f>
        <v>297026.74978274317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31</v>
      </c>
      <c r="B28" s="35"/>
      <c r="C28" s="35"/>
      <c r="D28" s="35"/>
      <c r="E28" s="37">
        <v>137000</v>
      </c>
    </row>
    <row r="29" spans="1:5" x14ac:dyDescent="0.25">
      <c r="A29" s="24" t="s">
        <v>10</v>
      </c>
      <c r="B29" s="24"/>
      <c r="C29" s="24"/>
      <c r="D29" s="24"/>
      <c r="E29" s="25">
        <f>E25-E28</f>
        <v>160026.74978274317</v>
      </c>
    </row>
    <row r="30" spans="1:5" x14ac:dyDescent="0.25">
      <c r="A30" s="24"/>
      <c r="B30" s="24"/>
      <c r="C30" s="24"/>
      <c r="D30" s="24"/>
      <c r="E30" s="25">
        <f>IF(E29&lt;0,0,E29)</f>
        <v>160026.74978274317</v>
      </c>
    </row>
    <row r="31" spans="1:5" x14ac:dyDescent="0.25">
      <c r="A31" s="32" t="s">
        <v>11</v>
      </c>
      <c r="B31" s="24"/>
      <c r="C31" s="24"/>
      <c r="D31" s="24"/>
      <c r="E31" s="34">
        <f>E8+E30</f>
        <v>560026.74978274317</v>
      </c>
    </row>
    <row r="32" spans="1:5" x14ac:dyDescent="0.25">
      <c r="A32" s="1"/>
    </row>
  </sheetData>
  <sheetProtection sheet="1" objects="1" scenarios="1" selectLockedCells="1"/>
  <hyperlinks>
    <hyperlink ref="G2" r:id="rId1" xr:uid="{5990D82A-8D1E-4112-839E-592BED057515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197B2-51D4-42BA-AC59-EE4050FC4F35}">
  <dimension ref="A1:G32"/>
  <sheetViews>
    <sheetView showGridLines="0" workbookViewId="0">
      <selection activeCell="G1" sqref="G1:G2"/>
    </sheetView>
  </sheetViews>
  <sheetFormatPr defaultColWidth="11.710937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2.14062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6" x14ac:dyDescent="0.25">
      <c r="A17" s="27" t="s">
        <v>48</v>
      </c>
      <c r="B17" s="28">
        <v>0</v>
      </c>
      <c r="C17" s="28" t="s">
        <v>47</v>
      </c>
      <c r="D17" s="29">
        <f>'2031'!D17*1.025</f>
        <v>85531.883405196204</v>
      </c>
      <c r="E17" s="25">
        <f>(D17-B17)*0.25</f>
        <v>21382.970851299051</v>
      </c>
    </row>
    <row r="18" spans="1:6" x14ac:dyDescent="0.25">
      <c r="A18" s="27" t="s">
        <v>45</v>
      </c>
      <c r="B18" s="30">
        <f>D17</f>
        <v>85531.883405196204</v>
      </c>
      <c r="C18" s="28" t="s">
        <v>47</v>
      </c>
      <c r="D18" s="29">
        <f>IF(E14&lt;('2031'!D18*1.025),E14, ('2031'!D18*1.025))</f>
        <v>265733.67194691289</v>
      </c>
      <c r="E18" s="25">
        <f>(D18-B18)*0.85</f>
        <v>153171.52026045919</v>
      </c>
      <c r="F18" s="9"/>
    </row>
    <row r="19" spans="1:6" x14ac:dyDescent="0.25">
      <c r="A19" s="27" t="s">
        <v>46</v>
      </c>
      <c r="B19" s="30">
        <f>D18</f>
        <v>265733.67194691289</v>
      </c>
      <c r="C19" s="28" t="s">
        <v>47</v>
      </c>
      <c r="D19" s="31">
        <f>IF(E14&lt;B19,B19,E14)</f>
        <v>400000</v>
      </c>
      <c r="E19" s="25">
        <f>(D19-B19)*1.5</f>
        <v>201399.49207963067</v>
      </c>
    </row>
    <row r="20" spans="1:6" x14ac:dyDescent="0.25">
      <c r="A20" s="32" t="s">
        <v>7</v>
      </c>
      <c r="B20" s="24"/>
      <c r="C20" s="24"/>
      <c r="D20" s="24"/>
      <c r="E20" s="26">
        <f>E17+E18+E19</f>
        <v>375953.98319138889</v>
      </c>
    </row>
    <row r="21" spans="1:6" x14ac:dyDescent="0.25">
      <c r="A21" s="7"/>
      <c r="B21" s="3"/>
      <c r="C21" s="3"/>
      <c r="D21" s="3"/>
      <c r="E21" s="6"/>
    </row>
    <row r="22" spans="1:6" x14ac:dyDescent="0.25">
      <c r="A22" s="35" t="s">
        <v>5</v>
      </c>
      <c r="B22" s="35"/>
      <c r="C22" s="35"/>
      <c r="D22" s="35"/>
      <c r="E22" s="37">
        <f>'2031'!E22*1.025</f>
        <v>28510.627801732066</v>
      </c>
    </row>
    <row r="23" spans="1:6" x14ac:dyDescent="0.25">
      <c r="A23" s="24" t="s">
        <v>6</v>
      </c>
      <c r="B23" s="24"/>
      <c r="C23" s="24"/>
      <c r="D23" s="24"/>
      <c r="E23" s="25">
        <f>E20-E22</f>
        <v>347443.35538965685</v>
      </c>
    </row>
    <row r="24" spans="1:6" x14ac:dyDescent="0.25">
      <c r="A24" s="24" t="s">
        <v>34</v>
      </c>
      <c r="B24" s="24"/>
      <c r="C24" s="24"/>
      <c r="D24" s="24"/>
      <c r="E24" s="33">
        <v>88</v>
      </c>
    </row>
    <row r="25" spans="1:6" x14ac:dyDescent="0.25">
      <c r="A25" s="32" t="s">
        <v>8</v>
      </c>
      <c r="B25" s="24"/>
      <c r="C25" s="24"/>
      <c r="D25" s="24"/>
      <c r="E25" s="26">
        <f>E23/100*E24</f>
        <v>305750.15274289803</v>
      </c>
    </row>
    <row r="26" spans="1:6" x14ac:dyDescent="0.25">
      <c r="A26" s="3"/>
      <c r="B26" s="3"/>
      <c r="C26" s="3"/>
      <c r="D26" s="3"/>
      <c r="E26" s="6"/>
    </row>
    <row r="27" spans="1:6" x14ac:dyDescent="0.25">
      <c r="A27" s="7" t="s">
        <v>9</v>
      </c>
      <c r="B27" s="3"/>
      <c r="C27" s="3"/>
      <c r="D27" s="3"/>
      <c r="E27" s="6"/>
    </row>
    <row r="28" spans="1:6" x14ac:dyDescent="0.25">
      <c r="A28" s="35" t="s">
        <v>33</v>
      </c>
      <c r="B28" s="35"/>
      <c r="C28" s="35"/>
      <c r="D28" s="35"/>
      <c r="E28" s="37">
        <v>137000</v>
      </c>
    </row>
    <row r="29" spans="1:6" x14ac:dyDescent="0.25">
      <c r="A29" s="24" t="s">
        <v>10</v>
      </c>
      <c r="B29" s="24"/>
      <c r="C29" s="24"/>
      <c r="D29" s="24"/>
      <c r="E29" s="25">
        <f>E25-E28</f>
        <v>168750.15274289803</v>
      </c>
    </row>
    <row r="30" spans="1:6" x14ac:dyDescent="0.25">
      <c r="A30" s="24"/>
      <c r="B30" s="24"/>
      <c r="C30" s="24"/>
      <c r="D30" s="24"/>
      <c r="E30" s="25">
        <f>IF(E29&lt;0,0,E29)</f>
        <v>168750.15274289803</v>
      </c>
    </row>
    <row r="31" spans="1:6" x14ac:dyDescent="0.25">
      <c r="A31" s="32" t="s">
        <v>11</v>
      </c>
      <c r="B31" s="24"/>
      <c r="C31" s="24"/>
      <c r="D31" s="24"/>
      <c r="E31" s="34">
        <f>E8+E30</f>
        <v>568750.15274289809</v>
      </c>
    </row>
    <row r="32" spans="1:6" x14ac:dyDescent="0.25">
      <c r="A32" s="1"/>
    </row>
  </sheetData>
  <sheetProtection sheet="1" objects="1" scenarios="1" selectLockedCells="1"/>
  <hyperlinks>
    <hyperlink ref="G2" r:id="rId1" xr:uid="{42A1EEC0-37FD-44A8-8801-5E398A211328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55087-C1A5-4FBF-8436-2F20A3322C0F}">
  <dimension ref="A1:G32"/>
  <sheetViews>
    <sheetView showGridLines="0" workbookViewId="0">
      <selection activeCell="G1" sqref="G1:G2"/>
    </sheetView>
  </sheetViews>
  <sheetFormatPr defaultColWidth="10.57031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2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'2032'!D17*1.025</f>
        <v>87670.180490326107</v>
      </c>
      <c r="E17" s="25">
        <f>(D17-B17)*0.25</f>
        <v>21917.545122581527</v>
      </c>
    </row>
    <row r="18" spans="1:5" x14ac:dyDescent="0.25">
      <c r="A18" s="27" t="s">
        <v>45</v>
      </c>
      <c r="B18" s="30">
        <f>D17</f>
        <v>87670.180490326107</v>
      </c>
      <c r="C18" s="28" t="s">
        <v>47</v>
      </c>
      <c r="D18" s="29">
        <f>IF(E14&lt;('2032'!D18*1.025),E14, ('2032'!D18*1.025))</f>
        <v>272377.01374558569</v>
      </c>
      <c r="E18" s="25">
        <f>(D18-B18)*0.85</f>
        <v>157000.80826697065</v>
      </c>
    </row>
    <row r="19" spans="1:5" x14ac:dyDescent="0.25">
      <c r="A19" s="27" t="s">
        <v>46</v>
      </c>
      <c r="B19" s="30">
        <f>D18</f>
        <v>272377.01374558569</v>
      </c>
      <c r="C19" s="28" t="s">
        <v>47</v>
      </c>
      <c r="D19" s="31">
        <f>IF(E14&lt;B19,B19,E14)</f>
        <v>400000</v>
      </c>
      <c r="E19" s="25">
        <f>(D19-B19)*1.5</f>
        <v>191434.47938162147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370352.83277117368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'2032'!E22*1.025</f>
        <v>29223.393496775363</v>
      </c>
    </row>
    <row r="23" spans="1:5" x14ac:dyDescent="0.25">
      <c r="A23" s="24" t="s">
        <v>6</v>
      </c>
      <c r="B23" s="24"/>
      <c r="C23" s="24"/>
      <c r="D23" s="24"/>
      <c r="E23" s="25">
        <f>E20-E22</f>
        <v>341129.43927439832</v>
      </c>
    </row>
    <row r="24" spans="1:5" x14ac:dyDescent="0.25">
      <c r="A24" s="24" t="s">
        <v>36</v>
      </c>
      <c r="B24" s="24"/>
      <c r="C24" s="24"/>
      <c r="D24" s="24"/>
      <c r="E24" s="33">
        <v>92</v>
      </c>
    </row>
    <row r="25" spans="1:5" x14ac:dyDescent="0.25">
      <c r="A25" s="32" t="s">
        <v>8</v>
      </c>
      <c r="B25" s="24"/>
      <c r="C25" s="24"/>
      <c r="D25" s="24"/>
      <c r="E25" s="26">
        <f>E23/100*E24</f>
        <v>313839.08413244644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35</v>
      </c>
      <c r="B28" s="35"/>
      <c r="C28" s="35"/>
      <c r="D28" s="35"/>
      <c r="E28" s="37">
        <v>137000</v>
      </c>
    </row>
    <row r="29" spans="1:5" x14ac:dyDescent="0.25">
      <c r="A29" s="24" t="s">
        <v>10</v>
      </c>
      <c r="B29" s="24"/>
      <c r="C29" s="24"/>
      <c r="D29" s="24"/>
      <c r="E29" s="25">
        <f>E25-E28</f>
        <v>176839.08413244644</v>
      </c>
    </row>
    <row r="30" spans="1:5" x14ac:dyDescent="0.25">
      <c r="A30" s="24"/>
      <c r="B30" s="24"/>
      <c r="C30" s="24"/>
      <c r="D30" s="24"/>
      <c r="E30" s="25">
        <f>IF(E29&lt;0,0,E29)</f>
        <v>176839.08413244644</v>
      </c>
    </row>
    <row r="31" spans="1:5" x14ac:dyDescent="0.25">
      <c r="A31" s="32" t="s">
        <v>11</v>
      </c>
      <c r="B31" s="24"/>
      <c r="C31" s="24"/>
      <c r="D31" s="24"/>
      <c r="E31" s="34">
        <f>E8+E30</f>
        <v>576839.08413244644</v>
      </c>
    </row>
    <row r="32" spans="1:5" x14ac:dyDescent="0.25">
      <c r="A32" s="1"/>
    </row>
  </sheetData>
  <sheetProtection sheet="1" objects="1" scenarios="1" selectLockedCells="1"/>
  <hyperlinks>
    <hyperlink ref="G2" r:id="rId1" xr:uid="{5803660B-530F-42F9-92A4-2E7599FC12EA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0C82-5771-4188-9FA7-6F4748506F5B}">
  <dimension ref="A1:G32"/>
  <sheetViews>
    <sheetView showGridLines="0" workbookViewId="0">
      <selection activeCell="G1" sqref="G1:G2"/>
    </sheetView>
  </sheetViews>
  <sheetFormatPr defaultColWidth="11.710937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'2033'!D17*1.025</f>
        <v>89861.935002584258</v>
      </c>
      <c r="E17" s="25">
        <f>(D17-B17)*0.25</f>
        <v>22465.483750646064</v>
      </c>
    </row>
    <row r="18" spans="1:5" x14ac:dyDescent="0.25">
      <c r="A18" s="27" t="s">
        <v>45</v>
      </c>
      <c r="B18" s="30">
        <f>D17</f>
        <v>89861.935002584258</v>
      </c>
      <c r="C18" s="28" t="s">
        <v>47</v>
      </c>
      <c r="D18" s="29">
        <f>IF(E14&lt;('2033'!D18*1.025),E14, ('2033'!D18*1.025))</f>
        <v>279186.43908922531</v>
      </c>
      <c r="E18" s="25">
        <f>(D18-B18)*0.85</f>
        <v>160925.82847364491</v>
      </c>
    </row>
    <row r="19" spans="1:5" x14ac:dyDescent="0.25">
      <c r="A19" s="27" t="s">
        <v>46</v>
      </c>
      <c r="B19" s="30">
        <f>D18</f>
        <v>279186.43908922531</v>
      </c>
      <c r="C19" s="28" t="s">
        <v>47</v>
      </c>
      <c r="D19" s="31">
        <f>IF(E14&lt;B19,B19,E14)</f>
        <v>400000</v>
      </c>
      <c r="E19" s="25">
        <f>(D19-B19)*1.5</f>
        <v>181220.34136616203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364611.65359045297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'2033'!E22*1.025</f>
        <v>29953.978334194744</v>
      </c>
    </row>
    <row r="23" spans="1:5" x14ac:dyDescent="0.25">
      <c r="A23" s="24" t="s">
        <v>6</v>
      </c>
      <c r="B23" s="24"/>
      <c r="C23" s="24"/>
      <c r="D23" s="24"/>
      <c r="E23" s="25">
        <f>E20-E22</f>
        <v>334657.67525625823</v>
      </c>
    </row>
    <row r="24" spans="1:5" x14ac:dyDescent="0.25">
      <c r="A24" s="24" t="s">
        <v>38</v>
      </c>
      <c r="B24" s="24"/>
      <c r="C24" s="24"/>
      <c r="D24" s="24"/>
      <c r="E24" s="33">
        <v>96</v>
      </c>
    </row>
    <row r="25" spans="1:5" x14ac:dyDescent="0.25">
      <c r="A25" s="32" t="s">
        <v>8</v>
      </c>
      <c r="B25" s="24"/>
      <c r="C25" s="24"/>
      <c r="D25" s="24"/>
      <c r="E25" s="26">
        <f>E23/100*E24</f>
        <v>321271.36824600794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37</v>
      </c>
      <c r="B28" s="35"/>
      <c r="C28" s="35"/>
      <c r="D28" s="35"/>
      <c r="E28" s="37">
        <v>137000</v>
      </c>
    </row>
    <row r="29" spans="1:5" x14ac:dyDescent="0.25">
      <c r="A29" s="24" t="s">
        <v>10</v>
      </c>
      <c r="B29" s="24"/>
      <c r="C29" s="24"/>
      <c r="D29" s="24"/>
      <c r="E29" s="25">
        <f>E25-E28</f>
        <v>184271.36824600794</v>
      </c>
    </row>
    <row r="30" spans="1:5" x14ac:dyDescent="0.25">
      <c r="A30" s="24"/>
      <c r="B30" s="24"/>
      <c r="C30" s="24"/>
      <c r="D30" s="24"/>
      <c r="E30" s="25">
        <f>IF(E29&lt;0,0,E29)</f>
        <v>184271.36824600794</v>
      </c>
    </row>
    <row r="31" spans="1:5" x14ac:dyDescent="0.25">
      <c r="A31" s="32" t="s">
        <v>11</v>
      </c>
      <c r="B31" s="24"/>
      <c r="C31" s="24"/>
      <c r="D31" s="24"/>
      <c r="E31" s="34">
        <f>E8+E30</f>
        <v>584271.36824600794</v>
      </c>
    </row>
    <row r="32" spans="1:5" x14ac:dyDescent="0.25">
      <c r="A32" s="1"/>
    </row>
  </sheetData>
  <sheetProtection sheet="1" objects="1" scenarios="1" selectLockedCells="1"/>
  <hyperlinks>
    <hyperlink ref="G2" r:id="rId1" xr:uid="{7A680EAA-3AD3-4941-A1E4-3DEB041EFED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C071F-1E9C-4316-B0EB-80F29400CA0D}">
  <dimension ref="A1:G32"/>
  <sheetViews>
    <sheetView showGridLines="0" workbookViewId="0">
      <selection activeCell="G1" sqref="G1:G2"/>
    </sheetView>
  </sheetViews>
  <sheetFormatPr defaultColWidth="12.285156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3.2851562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'2034'!D17*1.025</f>
        <v>92108.483377648852</v>
      </c>
      <c r="E17" s="25">
        <f>(D17-B17)*0.25</f>
        <v>23027.120844412213</v>
      </c>
    </row>
    <row r="18" spans="1:5" x14ac:dyDescent="0.25">
      <c r="A18" s="27" t="s">
        <v>45</v>
      </c>
      <c r="B18" s="30">
        <f>D17</f>
        <v>92108.483377648852</v>
      </c>
      <c r="C18" s="28" t="s">
        <v>47</v>
      </c>
      <c r="D18" s="29">
        <f>IF(E14&lt;('2034'!D18*1.025),E14, ('2034'!D18*1.025))</f>
        <v>286166.1000664559</v>
      </c>
      <c r="E18" s="25">
        <f>(D18-B18)*0.85</f>
        <v>164948.97418548597</v>
      </c>
    </row>
    <row r="19" spans="1:5" x14ac:dyDescent="0.25">
      <c r="A19" s="27" t="s">
        <v>46</v>
      </c>
      <c r="B19" s="30">
        <f>D18</f>
        <v>286166.1000664559</v>
      </c>
      <c r="C19" s="28" t="s">
        <v>47</v>
      </c>
      <c r="D19" s="31">
        <f>IF(E14&lt;B19,B19,E14)</f>
        <v>400000</v>
      </c>
      <c r="E19" s="25">
        <f>(D19-B19)*1.5</f>
        <v>170750.84990031616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358726.94493021432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'2034'!E22*1.025</f>
        <v>30702.827792549611</v>
      </c>
    </row>
    <row r="23" spans="1:5" x14ac:dyDescent="0.25">
      <c r="A23" s="24" t="s">
        <v>6</v>
      </c>
      <c r="B23" s="24"/>
      <c r="C23" s="24"/>
      <c r="D23" s="24"/>
      <c r="E23" s="25">
        <f>E20-E22</f>
        <v>328024.1171376647</v>
      </c>
    </row>
    <row r="24" spans="1:5" x14ac:dyDescent="0.25">
      <c r="A24" s="24" t="s">
        <v>40</v>
      </c>
      <c r="B24" s="24"/>
      <c r="C24" s="24"/>
      <c r="D24" s="24"/>
      <c r="E24" s="33">
        <v>100</v>
      </c>
    </row>
    <row r="25" spans="1:5" x14ac:dyDescent="0.25">
      <c r="A25" s="32" t="s">
        <v>8</v>
      </c>
      <c r="B25" s="24"/>
      <c r="C25" s="24"/>
      <c r="D25" s="24"/>
      <c r="E25" s="26">
        <f>E23/100*E24</f>
        <v>328024.1171376647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39</v>
      </c>
      <c r="B28" s="35"/>
      <c r="C28" s="35"/>
      <c r="D28" s="35"/>
      <c r="E28" s="37">
        <v>137000</v>
      </c>
    </row>
    <row r="29" spans="1:5" x14ac:dyDescent="0.25">
      <c r="A29" s="24" t="s">
        <v>10</v>
      </c>
      <c r="B29" s="24"/>
      <c r="C29" s="24"/>
      <c r="D29" s="24"/>
      <c r="E29" s="25">
        <f>E25-E28</f>
        <v>191024.1171376647</v>
      </c>
    </row>
    <row r="30" spans="1:5" x14ac:dyDescent="0.25">
      <c r="A30" s="24"/>
      <c r="B30" s="24"/>
      <c r="C30" s="24"/>
      <c r="D30" s="24"/>
      <c r="E30" s="25">
        <f>IF(E29&lt;0,0,E29)</f>
        <v>191024.1171376647</v>
      </c>
    </row>
    <row r="31" spans="1:5" x14ac:dyDescent="0.25">
      <c r="A31" s="32" t="s">
        <v>11</v>
      </c>
      <c r="B31" s="24"/>
      <c r="C31" s="24"/>
      <c r="D31" s="24"/>
      <c r="E31" s="34">
        <f>E8+E30</f>
        <v>591024.1171376647</v>
      </c>
    </row>
    <row r="32" spans="1:5" x14ac:dyDescent="0.25">
      <c r="A32" s="1"/>
    </row>
  </sheetData>
  <sheetProtection sheet="1" objects="1" scenarios="1" selectLockedCells="1"/>
  <hyperlinks>
    <hyperlink ref="G2" r:id="rId1" xr:uid="{3D7113F5-BE8A-453C-8ED1-76D3341EE1DB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EBE4F-DC13-4639-8459-D7AB6D6D5E68}">
  <dimension ref="A1:I33"/>
  <sheetViews>
    <sheetView showGridLines="0" zoomScaleNormal="100" workbookViewId="0">
      <selection activeCell="E8" sqref="E8"/>
    </sheetView>
  </sheetViews>
  <sheetFormatPr defaultRowHeight="15" x14ac:dyDescent="0.25"/>
  <cols>
    <col min="1" max="1" width="73.28515625" bestFit="1" customWidth="1"/>
    <col min="2" max="2" width="11.7109375" style="1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10.28515625" customWidth="1"/>
  </cols>
  <sheetData>
    <row r="1" spans="1:9" ht="26.25" x14ac:dyDescent="0.4">
      <c r="A1" s="13" t="s">
        <v>0</v>
      </c>
      <c r="B1"/>
      <c r="G1" s="46" t="s">
        <v>49</v>
      </c>
    </row>
    <row r="2" spans="1:9" x14ac:dyDescent="0.25">
      <c r="A2" s="1"/>
      <c r="B2"/>
      <c r="G2" s="14" t="s">
        <v>56</v>
      </c>
    </row>
    <row r="3" spans="1:9" ht="18.75" x14ac:dyDescent="0.3">
      <c r="A3" s="2" t="s">
        <v>41</v>
      </c>
      <c r="B3" s="3"/>
      <c r="C3" s="5"/>
    </row>
    <row r="4" spans="1:9" x14ac:dyDescent="0.25">
      <c r="A4" s="4" t="s">
        <v>42</v>
      </c>
      <c r="B4" s="40"/>
      <c r="C4" s="11"/>
      <c r="G4" s="12" t="s">
        <v>50</v>
      </c>
    </row>
    <row r="5" spans="1:9" x14ac:dyDescent="0.25">
      <c r="A5" s="4" t="s">
        <v>43</v>
      </c>
      <c r="B5" s="41"/>
      <c r="C5" s="5"/>
      <c r="G5" s="3" t="s">
        <v>52</v>
      </c>
    </row>
    <row r="6" spans="1:9" x14ac:dyDescent="0.25">
      <c r="A6" s="4" t="s">
        <v>44</v>
      </c>
      <c r="B6" s="15"/>
      <c r="C6" s="5"/>
    </row>
    <row r="7" spans="1:9" x14ac:dyDescent="0.25">
      <c r="A7" s="1"/>
      <c r="B7"/>
    </row>
    <row r="8" spans="1:9" x14ac:dyDescent="0.25">
      <c r="A8" s="41" t="s">
        <v>51</v>
      </c>
      <c r="B8" s="41"/>
      <c r="C8" s="41"/>
      <c r="D8" s="41"/>
      <c r="E8" s="52">
        <v>400000</v>
      </c>
    </row>
    <row r="9" spans="1:9" x14ac:dyDescent="0.25">
      <c r="A9" s="15" t="s">
        <v>4</v>
      </c>
      <c r="B9" s="15"/>
      <c r="C9" s="15"/>
      <c r="D9" s="15"/>
      <c r="E9" s="16">
        <f>E8/100*20</f>
        <v>80000</v>
      </c>
    </row>
    <row r="10" spans="1:9" x14ac:dyDescent="0.25">
      <c r="A10" s="41" t="s">
        <v>12</v>
      </c>
      <c r="B10" s="41"/>
      <c r="C10" s="41"/>
      <c r="D10" s="41"/>
      <c r="E10" s="53">
        <f>'2023'!E10</f>
        <v>80</v>
      </c>
      <c r="H10" s="44"/>
      <c r="I10" s="44"/>
    </row>
    <row r="11" spans="1:9" x14ac:dyDescent="0.25">
      <c r="A11" s="35" t="s">
        <v>14</v>
      </c>
      <c r="B11" s="35"/>
      <c r="C11" s="35"/>
      <c r="D11" s="35"/>
      <c r="E11" s="36">
        <f>IF(E10&gt;45,45,E10)</f>
        <v>45</v>
      </c>
      <c r="H11" s="45"/>
      <c r="I11" s="45"/>
    </row>
    <row r="12" spans="1:9" x14ac:dyDescent="0.25">
      <c r="A12" s="35" t="s">
        <v>13</v>
      </c>
      <c r="B12" s="35"/>
      <c r="C12" s="35"/>
      <c r="D12" s="35"/>
      <c r="E12" s="37">
        <v>1300</v>
      </c>
      <c r="H12" s="10"/>
      <c r="I12" s="10"/>
    </row>
    <row r="13" spans="1:9" x14ac:dyDescent="0.25">
      <c r="A13" s="15" t="s">
        <v>1</v>
      </c>
      <c r="B13" s="15"/>
      <c r="C13" s="15"/>
      <c r="D13" s="15"/>
      <c r="E13" s="16">
        <f>E11*E12</f>
        <v>58500</v>
      </c>
    </row>
    <row r="14" spans="1:9" x14ac:dyDescent="0.25">
      <c r="A14" s="15" t="s">
        <v>2</v>
      </c>
      <c r="B14" s="15"/>
      <c r="C14" s="15"/>
      <c r="D14" s="15"/>
      <c r="E14" s="17">
        <f>E8-E13</f>
        <v>341500</v>
      </c>
    </row>
    <row r="15" spans="1:9" x14ac:dyDescent="0.25">
      <c r="A15" s="3"/>
      <c r="B15" s="3"/>
      <c r="C15" s="3"/>
      <c r="D15" s="3"/>
      <c r="E15" s="6"/>
    </row>
    <row r="16" spans="1:9" x14ac:dyDescent="0.25">
      <c r="A16" s="7" t="s">
        <v>3</v>
      </c>
      <c r="B16" s="3"/>
      <c r="C16" s="3"/>
      <c r="D16" s="3"/>
      <c r="E16" s="6"/>
    </row>
    <row r="17" spans="1:5" x14ac:dyDescent="0.25">
      <c r="A17" s="18" t="s">
        <v>48</v>
      </c>
      <c r="B17" s="19">
        <v>0</v>
      </c>
      <c r="C17" s="19" t="s">
        <v>47</v>
      </c>
      <c r="D17" s="20">
        <v>65800</v>
      </c>
      <c r="E17" s="16">
        <f>(D17-B17)*0.25</f>
        <v>16450</v>
      </c>
    </row>
    <row r="18" spans="1:5" x14ac:dyDescent="0.25">
      <c r="A18" s="18" t="s">
        <v>45</v>
      </c>
      <c r="B18" s="21">
        <f>D17</f>
        <v>65800</v>
      </c>
      <c r="C18" s="19" t="s">
        <v>47</v>
      </c>
      <c r="D18" s="20">
        <f>IF(E14&lt;204600,E14,204600)</f>
        <v>204600</v>
      </c>
      <c r="E18" s="16">
        <f>(D18-B18)*0.85</f>
        <v>117980</v>
      </c>
    </row>
    <row r="19" spans="1:5" x14ac:dyDescent="0.25">
      <c r="A19" s="18" t="s">
        <v>46</v>
      </c>
      <c r="B19" s="21">
        <f>D18</f>
        <v>204600</v>
      </c>
      <c r="C19" s="19" t="s">
        <v>47</v>
      </c>
      <c r="D19" s="22">
        <f>IF(E14&lt;B19,B19,E14)</f>
        <v>341500</v>
      </c>
      <c r="E19" s="16">
        <f>(D19-B19)*1.5</f>
        <v>205350</v>
      </c>
    </row>
    <row r="20" spans="1:5" x14ac:dyDescent="0.25">
      <c r="A20" s="23" t="s">
        <v>7</v>
      </c>
      <c r="B20" s="15"/>
      <c r="C20" s="15"/>
      <c r="D20" s="15"/>
      <c r="E20" s="17">
        <f>E17+E18+E19</f>
        <v>339780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v>21900</v>
      </c>
    </row>
    <row r="23" spans="1:5" x14ac:dyDescent="0.25">
      <c r="A23" s="15" t="s">
        <v>6</v>
      </c>
      <c r="B23" s="15"/>
      <c r="C23" s="15"/>
      <c r="D23" s="15"/>
      <c r="E23" s="16">
        <f>E20-E22</f>
        <v>317880</v>
      </c>
    </row>
    <row r="24" spans="1:5" x14ac:dyDescent="0.25">
      <c r="A24" s="15" t="s">
        <v>15</v>
      </c>
      <c r="B24" s="15"/>
      <c r="C24" s="15"/>
      <c r="D24" s="15"/>
      <c r="E24" s="38">
        <v>40</v>
      </c>
    </row>
    <row r="25" spans="1:5" x14ac:dyDescent="0.25">
      <c r="A25" s="23" t="s">
        <v>8</v>
      </c>
      <c r="B25" s="15"/>
      <c r="C25" s="15"/>
      <c r="D25" s="15"/>
      <c r="E25" s="17">
        <f>E23/100*E24</f>
        <v>127152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16</v>
      </c>
      <c r="B28" s="35"/>
      <c r="C28" s="35"/>
      <c r="D28" s="35"/>
      <c r="E28" s="37">
        <v>167500</v>
      </c>
    </row>
    <row r="29" spans="1:5" x14ac:dyDescent="0.25">
      <c r="A29" s="15" t="s">
        <v>10</v>
      </c>
      <c r="B29" s="15"/>
      <c r="C29" s="15"/>
      <c r="D29" s="15"/>
      <c r="E29" s="16">
        <f>E25-E28</f>
        <v>-40348</v>
      </c>
    </row>
    <row r="30" spans="1:5" x14ac:dyDescent="0.25">
      <c r="A30" s="15"/>
      <c r="B30" s="15"/>
      <c r="C30" s="15"/>
      <c r="D30" s="15"/>
      <c r="E30" s="16">
        <f>IF(E29&lt;0,0,E29)</f>
        <v>0</v>
      </c>
    </row>
    <row r="31" spans="1:5" x14ac:dyDescent="0.25">
      <c r="A31" s="23" t="s">
        <v>11</v>
      </c>
      <c r="B31" s="15"/>
      <c r="C31" s="15"/>
      <c r="D31" s="15"/>
      <c r="E31" s="39">
        <f>E8+E30</f>
        <v>400000</v>
      </c>
    </row>
    <row r="32" spans="1:5" x14ac:dyDescent="0.25">
      <c r="A32" s="1"/>
      <c r="B32"/>
    </row>
    <row r="33" spans="1:2" x14ac:dyDescent="0.25">
      <c r="A33" s="1"/>
      <c r="B33"/>
    </row>
  </sheetData>
  <sheetProtection sheet="1" objects="1" scenarios="1" selectLockedCells="1"/>
  <hyperlinks>
    <hyperlink ref="H11" r:id="rId1" display="https://elbilviden.dk/bilkatalog/ " xr:uid="{5188F1EC-1D5A-400E-B464-F24A67613930}"/>
    <hyperlink ref="G2" r:id="rId2" xr:uid="{386D2FF4-FF59-4356-BEDD-4E331997BE4A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51715-F88F-48D6-B988-155D0B3447CB}">
  <dimension ref="A1:I33"/>
  <sheetViews>
    <sheetView showGridLines="0" zoomScaleNormal="100" workbookViewId="0">
      <selection activeCell="E8" sqref="E8"/>
    </sheetView>
  </sheetViews>
  <sheetFormatPr defaultRowHeight="15" x14ac:dyDescent="0.25"/>
  <cols>
    <col min="1" max="1" width="73.28515625" bestFit="1" customWidth="1"/>
    <col min="2" max="2" width="11.7109375" style="1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10.28515625" customWidth="1"/>
  </cols>
  <sheetData>
    <row r="1" spans="1:9" ht="26.25" x14ac:dyDescent="0.4">
      <c r="A1" s="13" t="s">
        <v>0</v>
      </c>
      <c r="B1"/>
      <c r="G1" s="46" t="s">
        <v>49</v>
      </c>
    </row>
    <row r="2" spans="1:9" x14ac:dyDescent="0.25">
      <c r="A2" s="1"/>
      <c r="B2"/>
      <c r="G2" s="14" t="s">
        <v>56</v>
      </c>
    </row>
    <row r="3" spans="1:9" ht="18.75" x14ac:dyDescent="0.3">
      <c r="A3" s="2" t="s">
        <v>41</v>
      </c>
      <c r="B3" s="3"/>
      <c r="C3" s="5"/>
    </row>
    <row r="4" spans="1:9" x14ac:dyDescent="0.25">
      <c r="A4" s="4" t="s">
        <v>42</v>
      </c>
      <c r="B4" s="40"/>
      <c r="C4" s="11"/>
      <c r="G4" s="12" t="s">
        <v>50</v>
      </c>
    </row>
    <row r="5" spans="1:9" x14ac:dyDescent="0.25">
      <c r="A5" s="4" t="s">
        <v>43</v>
      </c>
      <c r="B5" s="41"/>
      <c r="C5" s="5"/>
      <c r="G5" s="3" t="s">
        <v>52</v>
      </c>
    </row>
    <row r="6" spans="1:9" x14ac:dyDescent="0.25">
      <c r="A6" s="4" t="s">
        <v>44</v>
      </c>
      <c r="B6" s="15"/>
      <c r="C6" s="5"/>
    </row>
    <row r="7" spans="1:9" x14ac:dyDescent="0.25">
      <c r="A7" s="1"/>
      <c r="B7"/>
    </row>
    <row r="8" spans="1:9" x14ac:dyDescent="0.25">
      <c r="A8" s="41" t="s">
        <v>51</v>
      </c>
      <c r="B8" s="41"/>
      <c r="C8" s="41"/>
      <c r="D8" s="41"/>
      <c r="E8" s="52">
        <v>400000</v>
      </c>
    </row>
    <row r="9" spans="1:9" x14ac:dyDescent="0.25">
      <c r="A9" s="15" t="s">
        <v>4</v>
      </c>
      <c r="B9" s="15"/>
      <c r="C9" s="15"/>
      <c r="D9" s="15"/>
      <c r="E9" s="16">
        <f>E8/100*20</f>
        <v>80000</v>
      </c>
    </row>
    <row r="10" spans="1:9" x14ac:dyDescent="0.25">
      <c r="A10" s="41" t="s">
        <v>12</v>
      </c>
      <c r="B10" s="41"/>
      <c r="C10" s="41"/>
      <c r="D10" s="41"/>
      <c r="E10" s="53">
        <v>80</v>
      </c>
      <c r="H10" s="44"/>
      <c r="I10" s="44"/>
    </row>
    <row r="11" spans="1:9" x14ac:dyDescent="0.25">
      <c r="A11" s="35" t="s">
        <v>14</v>
      </c>
      <c r="B11" s="35"/>
      <c r="C11" s="35"/>
      <c r="D11" s="35"/>
      <c r="E11" s="36">
        <f>IF(E10&gt;45,45,E10)</f>
        <v>45</v>
      </c>
      <c r="H11" s="45"/>
      <c r="I11" s="45"/>
    </row>
    <row r="12" spans="1:9" x14ac:dyDescent="0.25">
      <c r="A12" s="35" t="s">
        <v>13</v>
      </c>
      <c r="B12" s="35"/>
      <c r="C12" s="35"/>
      <c r="D12" s="35"/>
      <c r="E12" s="37">
        <v>900</v>
      </c>
      <c r="H12" s="10"/>
      <c r="I12" s="10"/>
    </row>
    <row r="13" spans="1:9" x14ac:dyDescent="0.25">
      <c r="A13" s="15" t="s">
        <v>1</v>
      </c>
      <c r="B13" s="15"/>
      <c r="C13" s="15"/>
      <c r="D13" s="15"/>
      <c r="E13" s="16">
        <f>E11*E12</f>
        <v>40500</v>
      </c>
    </row>
    <row r="14" spans="1:9" x14ac:dyDescent="0.25">
      <c r="A14" s="15" t="s">
        <v>2</v>
      </c>
      <c r="B14" s="15"/>
      <c r="C14" s="15"/>
      <c r="D14" s="15"/>
      <c r="E14" s="17">
        <f>E8-E13</f>
        <v>359500</v>
      </c>
    </row>
    <row r="15" spans="1:9" x14ac:dyDescent="0.25">
      <c r="A15" s="3"/>
      <c r="B15" s="3"/>
      <c r="C15" s="3"/>
      <c r="D15" s="3"/>
      <c r="E15" s="6"/>
    </row>
    <row r="16" spans="1:9" x14ac:dyDescent="0.25">
      <c r="A16" s="7" t="s">
        <v>3</v>
      </c>
      <c r="B16" s="3"/>
      <c r="C16" s="3"/>
      <c r="D16" s="3"/>
      <c r="E16" s="6"/>
    </row>
    <row r="17" spans="1:5" x14ac:dyDescent="0.25">
      <c r="A17" s="18" t="s">
        <v>48</v>
      </c>
      <c r="B17" s="19">
        <v>0</v>
      </c>
      <c r="C17" s="19" t="s">
        <v>47</v>
      </c>
      <c r="D17" s="20">
        <v>67800</v>
      </c>
      <c r="E17" s="16">
        <f>(D17-B17)*0.25</f>
        <v>16950</v>
      </c>
    </row>
    <row r="18" spans="1:5" x14ac:dyDescent="0.25">
      <c r="A18" s="18" t="s">
        <v>45</v>
      </c>
      <c r="B18" s="21">
        <f>D17</f>
        <v>67800</v>
      </c>
      <c r="C18" s="19" t="s">
        <v>47</v>
      </c>
      <c r="D18" s="20">
        <f>IF(E14&lt;210600,E14,210600)</f>
        <v>210600</v>
      </c>
      <c r="E18" s="16">
        <f>(D18-B18)*0.85</f>
        <v>121380</v>
      </c>
    </row>
    <row r="19" spans="1:5" x14ac:dyDescent="0.25">
      <c r="A19" s="18" t="s">
        <v>46</v>
      </c>
      <c r="B19" s="21">
        <f>D18</f>
        <v>210600</v>
      </c>
      <c r="C19" s="19" t="s">
        <v>47</v>
      </c>
      <c r="D19" s="22">
        <f>IF(E14&lt;B19,B19,E14)</f>
        <v>359500</v>
      </c>
      <c r="E19" s="16">
        <f>(D19-B19)*1.5</f>
        <v>223350</v>
      </c>
    </row>
    <row r="20" spans="1:5" x14ac:dyDescent="0.25">
      <c r="A20" s="23" t="s">
        <v>7</v>
      </c>
      <c r="B20" s="15"/>
      <c r="C20" s="15"/>
      <c r="D20" s="15"/>
      <c r="E20" s="17">
        <f>E17+E18+E19</f>
        <v>361680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v>22600</v>
      </c>
    </row>
    <row r="23" spans="1:5" x14ac:dyDescent="0.25">
      <c r="A23" s="15" t="s">
        <v>6</v>
      </c>
      <c r="B23" s="15"/>
      <c r="C23" s="15"/>
      <c r="D23" s="15"/>
      <c r="E23" s="16">
        <f>E20-E22</f>
        <v>339080</v>
      </c>
    </row>
    <row r="24" spans="1:5" x14ac:dyDescent="0.25">
      <c r="A24" s="15" t="s">
        <v>15</v>
      </c>
      <c r="B24" s="15"/>
      <c r="C24" s="15"/>
      <c r="D24" s="15"/>
      <c r="E24" s="38">
        <v>40</v>
      </c>
    </row>
    <row r="25" spans="1:5" x14ac:dyDescent="0.25">
      <c r="A25" s="23" t="s">
        <v>8</v>
      </c>
      <c r="B25" s="15"/>
      <c r="C25" s="15"/>
      <c r="D25" s="15"/>
      <c r="E25" s="17">
        <f>E23/100*E24</f>
        <v>135632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16</v>
      </c>
      <c r="B28" s="35"/>
      <c r="C28" s="35"/>
      <c r="D28" s="35"/>
      <c r="E28" s="37">
        <v>165000</v>
      </c>
    </row>
    <row r="29" spans="1:5" x14ac:dyDescent="0.25">
      <c r="A29" s="15" t="s">
        <v>10</v>
      </c>
      <c r="B29" s="15"/>
      <c r="C29" s="15"/>
      <c r="D29" s="15"/>
      <c r="E29" s="16">
        <f>E25-E28</f>
        <v>-29368</v>
      </c>
    </row>
    <row r="30" spans="1:5" x14ac:dyDescent="0.25">
      <c r="A30" s="15"/>
      <c r="B30" s="15"/>
      <c r="C30" s="15"/>
      <c r="D30" s="15"/>
      <c r="E30" s="16">
        <f>IF(E29&lt;0,0,E29)</f>
        <v>0</v>
      </c>
    </row>
    <row r="31" spans="1:5" x14ac:dyDescent="0.25">
      <c r="A31" s="23" t="s">
        <v>11</v>
      </c>
      <c r="B31" s="15"/>
      <c r="C31" s="15"/>
      <c r="D31" s="15"/>
      <c r="E31" s="39">
        <f>E8+E30</f>
        <v>400000</v>
      </c>
    </row>
    <row r="32" spans="1:5" x14ac:dyDescent="0.25">
      <c r="A32" s="1"/>
      <c r="B32"/>
    </row>
    <row r="33" spans="1:2" x14ac:dyDescent="0.25">
      <c r="A33" s="1"/>
      <c r="B33"/>
    </row>
  </sheetData>
  <sheetProtection sheet="1" objects="1" scenarios="1" selectLockedCells="1"/>
  <hyperlinks>
    <hyperlink ref="H11" r:id="rId1" display="https://elbilviden.dk/bilkatalog/ " xr:uid="{DF3BFACB-F83D-482E-A353-DE8A300E21CC}"/>
    <hyperlink ref="G2" r:id="rId2" xr:uid="{5E060963-E2B8-4A03-A5AE-8CEC4D59A0B3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CAF0-71C9-4EF5-98DA-AFDFBDE9AD4E}">
  <dimension ref="A1:G31"/>
  <sheetViews>
    <sheetView showGridLines="0" workbookViewId="0">
      <selection activeCell="E8" sqref="E8"/>
    </sheetView>
  </sheetViews>
  <sheetFormatPr defaultRowHeight="15" x14ac:dyDescent="0.25"/>
  <cols>
    <col min="1" max="1" width="73.28515625" bestFit="1" customWidth="1"/>
    <col min="2" max="2" width="11.7109375" style="1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10.7109375" customWidth="1"/>
  </cols>
  <sheetData>
    <row r="1" spans="1:7" ht="26.25" x14ac:dyDescent="0.4">
      <c r="A1" s="13" t="s">
        <v>0</v>
      </c>
      <c r="B1"/>
      <c r="G1" s="46" t="s">
        <v>49</v>
      </c>
    </row>
    <row r="2" spans="1:7" x14ac:dyDescent="0.25">
      <c r="A2" s="1"/>
      <c r="B2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  <c r="B7"/>
    </row>
    <row r="8" spans="1:7" x14ac:dyDescent="0.25">
      <c r="A8" s="41" t="s">
        <v>51</v>
      </c>
      <c r="B8" s="41"/>
      <c r="C8" s="41"/>
      <c r="D8" s="41"/>
      <c r="E8" s="52">
        <f>'2023'!E8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5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500</v>
      </c>
    </row>
    <row r="13" spans="1:7" x14ac:dyDescent="0.25">
      <c r="A13" s="24" t="s">
        <v>1</v>
      </c>
      <c r="B13" s="24"/>
      <c r="C13" s="24"/>
      <c r="D13" s="24"/>
      <c r="E13" s="25">
        <f>E11*E12</f>
        <v>22500</v>
      </c>
    </row>
    <row r="14" spans="1:7" x14ac:dyDescent="0.25">
      <c r="A14" s="24" t="s">
        <v>2</v>
      </c>
      <c r="B14" s="24"/>
      <c r="C14" s="24"/>
      <c r="D14" s="24"/>
      <c r="E14" s="26">
        <f>E8-E13</f>
        <v>377500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v>70200</v>
      </c>
      <c r="E17" s="25">
        <f>(D17-B17)*0.25</f>
        <v>17550</v>
      </c>
    </row>
    <row r="18" spans="1:5" x14ac:dyDescent="0.25">
      <c r="A18" s="27" t="s">
        <v>45</v>
      </c>
      <c r="B18" s="30">
        <f>D17</f>
        <v>70200</v>
      </c>
      <c r="C18" s="28" t="s">
        <v>47</v>
      </c>
      <c r="D18" s="29">
        <f>IF(E14&lt;218100,E14,218100)</f>
        <v>218100</v>
      </c>
      <c r="E18" s="25">
        <f>(D18-B18)*0.85</f>
        <v>125715</v>
      </c>
    </row>
    <row r="19" spans="1:5" x14ac:dyDescent="0.25">
      <c r="A19" s="27" t="s">
        <v>46</v>
      </c>
      <c r="B19" s="30">
        <f>D18</f>
        <v>218100</v>
      </c>
      <c r="C19" s="28" t="s">
        <v>47</v>
      </c>
      <c r="D19" s="31">
        <f>IF(E14&lt;B19,B19,E14)</f>
        <v>377500</v>
      </c>
      <c r="E19" s="25">
        <f>(D19-B19)*1.5</f>
        <v>239100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382365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v>23400</v>
      </c>
    </row>
    <row r="23" spans="1:5" x14ac:dyDescent="0.25">
      <c r="A23" s="24" t="s">
        <v>6</v>
      </c>
      <c r="B23" s="24"/>
      <c r="C23" s="24"/>
      <c r="D23" s="24"/>
      <c r="E23" s="25">
        <f>E20-E22</f>
        <v>358965</v>
      </c>
    </row>
    <row r="24" spans="1:5" x14ac:dyDescent="0.25">
      <c r="A24" s="24" t="s">
        <v>18</v>
      </c>
      <c r="B24" s="24"/>
      <c r="C24" s="24"/>
      <c r="D24" s="24"/>
      <c r="E24" s="33">
        <v>40</v>
      </c>
    </row>
    <row r="25" spans="1:5" x14ac:dyDescent="0.25">
      <c r="A25" s="32" t="s">
        <v>8</v>
      </c>
      <c r="B25" s="24"/>
      <c r="C25" s="24"/>
      <c r="D25" s="24"/>
      <c r="E25" s="26">
        <f>E23/100*E24</f>
        <v>143586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17</v>
      </c>
      <c r="B28" s="35"/>
      <c r="C28" s="35"/>
      <c r="D28" s="35"/>
      <c r="E28" s="37">
        <v>165500</v>
      </c>
    </row>
    <row r="29" spans="1:5" x14ac:dyDescent="0.25">
      <c r="A29" s="24" t="s">
        <v>10</v>
      </c>
      <c r="B29" s="24"/>
      <c r="C29" s="24"/>
      <c r="D29" s="24"/>
      <c r="E29" s="25">
        <f>E25-E28</f>
        <v>-21914</v>
      </c>
    </row>
    <row r="30" spans="1:5" x14ac:dyDescent="0.25">
      <c r="A30" s="24"/>
      <c r="B30" s="24"/>
      <c r="C30" s="24"/>
      <c r="D30" s="24"/>
      <c r="E30" s="25">
        <f>IF(E29&lt;0,0,E29)</f>
        <v>0</v>
      </c>
    </row>
    <row r="31" spans="1:5" x14ac:dyDescent="0.25">
      <c r="A31" s="32" t="s">
        <v>11</v>
      </c>
      <c r="B31" s="24"/>
      <c r="C31" s="24"/>
      <c r="D31" s="24"/>
      <c r="E31" s="34">
        <f>E8+E30</f>
        <v>400000</v>
      </c>
    </row>
  </sheetData>
  <sheetProtection sheet="1" objects="1" scenarios="1" selectLockedCells="1"/>
  <hyperlinks>
    <hyperlink ref="G2" r:id="rId1" xr:uid="{5ED41CB6-8D38-47EA-BAB9-FBF5EFC12C9B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667C9-A6EA-4048-ACD2-1E072D145018}">
  <dimension ref="A1:I32"/>
  <sheetViews>
    <sheetView showGridLines="0" workbookViewId="0">
      <selection activeCell="E8" sqref="E8"/>
    </sheetView>
  </sheetViews>
  <sheetFormatPr defaultRowHeight="15" x14ac:dyDescent="0.25"/>
  <cols>
    <col min="1" max="1" width="73.28515625" bestFit="1" customWidth="1"/>
    <col min="2" max="2" width="11.7109375" style="1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10.140625" customWidth="1"/>
  </cols>
  <sheetData>
    <row r="1" spans="1:9" ht="26.25" x14ac:dyDescent="0.4">
      <c r="A1" s="13" t="s">
        <v>0</v>
      </c>
      <c r="B1"/>
      <c r="G1" s="46" t="s">
        <v>49</v>
      </c>
    </row>
    <row r="2" spans="1:9" x14ac:dyDescent="0.25">
      <c r="A2" s="1"/>
      <c r="B2"/>
      <c r="E2" s="8"/>
      <c r="G2" s="14" t="s">
        <v>56</v>
      </c>
    </row>
    <row r="3" spans="1:9" ht="18.75" x14ac:dyDescent="0.3">
      <c r="A3" s="2" t="s">
        <v>41</v>
      </c>
      <c r="B3" s="3"/>
      <c r="C3" s="10"/>
    </row>
    <row r="4" spans="1:9" x14ac:dyDescent="0.25">
      <c r="A4" s="4" t="s">
        <v>42</v>
      </c>
      <c r="B4" s="40"/>
      <c r="C4" s="11"/>
      <c r="D4" s="8"/>
      <c r="G4" s="12" t="s">
        <v>50</v>
      </c>
    </row>
    <row r="5" spans="1:9" x14ac:dyDescent="0.25">
      <c r="A5" s="4" t="s">
        <v>43</v>
      </c>
      <c r="B5" s="41"/>
      <c r="C5" s="5"/>
      <c r="D5" s="8"/>
      <c r="G5" s="3" t="s">
        <v>52</v>
      </c>
      <c r="I5" s="5"/>
    </row>
    <row r="6" spans="1:9" x14ac:dyDescent="0.25">
      <c r="A6" s="4" t="s">
        <v>44</v>
      </c>
      <c r="B6" s="15"/>
      <c r="C6" s="5"/>
      <c r="D6" s="8"/>
    </row>
    <row r="7" spans="1:9" x14ac:dyDescent="0.25">
      <c r="A7" s="1"/>
      <c r="B7"/>
    </row>
    <row r="8" spans="1:9" x14ac:dyDescent="0.25">
      <c r="A8" s="41" t="s">
        <v>51</v>
      </c>
      <c r="B8" s="41"/>
      <c r="C8" s="41"/>
      <c r="D8" s="41"/>
      <c r="E8" s="42">
        <f>'2024'!E8</f>
        <v>400000</v>
      </c>
    </row>
    <row r="9" spans="1:9" x14ac:dyDescent="0.25">
      <c r="A9" s="24" t="s">
        <v>4</v>
      </c>
      <c r="B9" s="24"/>
      <c r="C9" s="24"/>
      <c r="D9" s="24"/>
      <c r="E9" s="25">
        <f>E8/100*20</f>
        <v>80000</v>
      </c>
    </row>
    <row r="10" spans="1:9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9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9" x14ac:dyDescent="0.25">
      <c r="A12" s="35" t="s">
        <v>13</v>
      </c>
      <c r="B12" s="35"/>
      <c r="C12" s="35"/>
      <c r="D12" s="35"/>
      <c r="E12" s="37">
        <v>0</v>
      </c>
    </row>
    <row r="13" spans="1:9" x14ac:dyDescent="0.25">
      <c r="A13" s="24" t="s">
        <v>1</v>
      </c>
      <c r="B13" s="24"/>
      <c r="C13" s="24"/>
      <c r="D13" s="24"/>
      <c r="E13" s="25">
        <f>E11*E12</f>
        <v>0</v>
      </c>
    </row>
    <row r="14" spans="1:9" x14ac:dyDescent="0.25">
      <c r="A14" s="24" t="s">
        <v>2</v>
      </c>
      <c r="B14" s="24"/>
      <c r="C14" s="24"/>
      <c r="D14" s="24"/>
      <c r="E14" s="26">
        <f>E8-E13</f>
        <v>400000</v>
      </c>
    </row>
    <row r="15" spans="1:9" x14ac:dyDescent="0.25">
      <c r="A15" s="3"/>
      <c r="B15" s="3"/>
      <c r="C15" s="3"/>
      <c r="D15" s="3"/>
      <c r="E15" s="6"/>
    </row>
    <row r="16" spans="1:9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'2024'!D17*1.025</f>
        <v>71955</v>
      </c>
      <c r="E17" s="25">
        <f>(D17-B17)*0.25</f>
        <v>17988.75</v>
      </c>
    </row>
    <row r="18" spans="1:5" x14ac:dyDescent="0.25">
      <c r="A18" s="27" t="s">
        <v>45</v>
      </c>
      <c r="B18" s="30">
        <f>D17</f>
        <v>71955</v>
      </c>
      <c r="C18" s="28" t="s">
        <v>47</v>
      </c>
      <c r="D18" s="29">
        <f>IF(E14&lt;('2024'!D18*1.025),E14, ('2024'!D18*1.025))</f>
        <v>223552.49999999997</v>
      </c>
      <c r="E18" s="25">
        <f>(D18-B18)*0.85</f>
        <v>128857.87499999997</v>
      </c>
    </row>
    <row r="19" spans="1:5" x14ac:dyDescent="0.25">
      <c r="A19" s="27" t="s">
        <v>46</v>
      </c>
      <c r="B19" s="30">
        <f>D18</f>
        <v>223552.49999999997</v>
      </c>
      <c r="C19" s="28" t="s">
        <v>47</v>
      </c>
      <c r="D19" s="31">
        <f>IF(E14&lt;B19,B19,E14)</f>
        <v>400000</v>
      </c>
      <c r="E19" s="25">
        <f>(D19-B19)*1.5</f>
        <v>264671.25000000006</v>
      </c>
    </row>
    <row r="20" spans="1:5" x14ac:dyDescent="0.25">
      <c r="A20" s="32" t="s">
        <v>7</v>
      </c>
      <c r="B20" s="24"/>
      <c r="C20" s="24"/>
      <c r="D20" s="24"/>
      <c r="E20" s="26">
        <f>E17+E18+E19</f>
        <v>411517.875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'2024'!E22*1.025</f>
        <v>23984.999999999996</v>
      </c>
    </row>
    <row r="23" spans="1:5" x14ac:dyDescent="0.25">
      <c r="A23" s="24" t="s">
        <v>6</v>
      </c>
      <c r="B23" s="24"/>
      <c r="C23" s="24"/>
      <c r="D23" s="24"/>
      <c r="E23" s="25">
        <f>E20-E22</f>
        <v>387532.875</v>
      </c>
    </row>
    <row r="24" spans="1:5" x14ac:dyDescent="0.25">
      <c r="A24" s="24" t="s">
        <v>20</v>
      </c>
      <c r="B24" s="24"/>
      <c r="C24" s="24"/>
      <c r="D24" s="24"/>
      <c r="E24" s="33">
        <v>40</v>
      </c>
    </row>
    <row r="25" spans="1:5" x14ac:dyDescent="0.25">
      <c r="A25" s="32" t="s">
        <v>8</v>
      </c>
      <c r="B25" s="24"/>
      <c r="C25" s="24"/>
      <c r="D25" s="24"/>
      <c r="E25" s="26">
        <f>E23/100*E24</f>
        <v>155013.15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19</v>
      </c>
      <c r="B28" s="35"/>
      <c r="C28" s="35"/>
      <c r="D28" s="35"/>
      <c r="E28" s="37">
        <v>165500</v>
      </c>
    </row>
    <row r="29" spans="1:5" x14ac:dyDescent="0.25">
      <c r="A29" s="24" t="s">
        <v>10</v>
      </c>
      <c r="B29" s="24"/>
      <c r="C29" s="24"/>
      <c r="D29" s="24"/>
      <c r="E29" s="25">
        <f>E25-E28</f>
        <v>-10486.850000000006</v>
      </c>
    </row>
    <row r="30" spans="1:5" x14ac:dyDescent="0.25">
      <c r="A30" s="24"/>
      <c r="B30" s="24"/>
      <c r="C30" s="24"/>
      <c r="D30" s="24"/>
      <c r="E30" s="25">
        <f>IF(E29&lt;0,0,E29)</f>
        <v>0</v>
      </c>
    </row>
    <row r="31" spans="1:5" x14ac:dyDescent="0.25">
      <c r="A31" s="32" t="s">
        <v>11</v>
      </c>
      <c r="B31" s="24"/>
      <c r="C31" s="24"/>
      <c r="D31" s="24"/>
      <c r="E31" s="34">
        <f>E8+E30</f>
        <v>400000</v>
      </c>
    </row>
    <row r="32" spans="1:5" x14ac:dyDescent="0.25">
      <c r="A32" s="1"/>
      <c r="B32"/>
    </row>
  </sheetData>
  <sheetProtection sheet="1" objects="1" scenarios="1" selectLockedCells="1"/>
  <hyperlinks>
    <hyperlink ref="G2" r:id="rId1" xr:uid="{8AEF5184-D5EF-4E29-9645-6F91BB0D48EF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E98B-96E1-4782-9569-0D138B093610}">
  <dimension ref="A1:G32"/>
  <sheetViews>
    <sheetView showGridLines="0" workbookViewId="0">
      <selection activeCell="G1" sqref="G1:G2"/>
    </sheetView>
  </sheetViews>
  <sheetFormatPr defaultColWidth="12.1406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12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'2025'!D17*1.025</f>
        <v>73753.875</v>
      </c>
      <c r="E17" s="25">
        <f>(D17-B17)*0.25</f>
        <v>18438.46875</v>
      </c>
    </row>
    <row r="18" spans="1:5" x14ac:dyDescent="0.25">
      <c r="A18" s="27" t="s">
        <v>45</v>
      </c>
      <c r="B18" s="30">
        <f>D17</f>
        <v>73753.875</v>
      </c>
      <c r="C18" s="28" t="s">
        <v>47</v>
      </c>
      <c r="D18" s="29">
        <f>IF(E14&lt;('2025'!D18*1.025),E14, ('2025'!D18*1.025))</f>
        <v>229141.31249999994</v>
      </c>
      <c r="E18" s="25">
        <f>(D18-B18)*0.85</f>
        <v>132079.32187499994</v>
      </c>
    </row>
    <row r="19" spans="1:5" x14ac:dyDescent="0.25">
      <c r="A19" s="27" t="s">
        <v>46</v>
      </c>
      <c r="B19" s="30">
        <f>D18</f>
        <v>229141.31249999994</v>
      </c>
      <c r="C19" s="28" t="s">
        <v>47</v>
      </c>
      <c r="D19" s="31">
        <f>IF(E14&lt;B19,B19,E14)</f>
        <v>400000</v>
      </c>
      <c r="E19" s="25">
        <f>(D19-B19)*1.5</f>
        <v>256288.03125000009</v>
      </c>
    </row>
    <row r="20" spans="1:5" x14ac:dyDescent="0.25">
      <c r="A20" s="32" t="s">
        <v>7</v>
      </c>
      <c r="B20" s="24"/>
      <c r="C20" s="24"/>
      <c r="D20" s="24"/>
      <c r="E20" s="26">
        <f>E17+E18+E19</f>
        <v>406805.82187500002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'2025'!E22*1.025</f>
        <v>24584.624999999993</v>
      </c>
    </row>
    <row r="23" spans="1:5" x14ac:dyDescent="0.25">
      <c r="A23" s="24" t="s">
        <v>6</v>
      </c>
      <c r="B23" s="24"/>
      <c r="C23" s="24"/>
      <c r="D23" s="24"/>
      <c r="E23" s="25">
        <f>E20-E22</f>
        <v>382221.19687500002</v>
      </c>
    </row>
    <row r="24" spans="1:5" x14ac:dyDescent="0.25">
      <c r="A24" s="24" t="s">
        <v>24</v>
      </c>
      <c r="B24" s="24"/>
      <c r="C24" s="24"/>
      <c r="D24" s="24"/>
      <c r="E24" s="33">
        <v>48</v>
      </c>
    </row>
    <row r="25" spans="1:5" x14ac:dyDescent="0.25">
      <c r="A25" s="32" t="s">
        <v>8</v>
      </c>
      <c r="B25" s="24"/>
      <c r="C25" s="24"/>
      <c r="D25" s="24"/>
      <c r="E25" s="26">
        <f>E23/100*E24</f>
        <v>183466.17450000002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23</v>
      </c>
      <c r="B28" s="35"/>
      <c r="C28" s="35"/>
      <c r="D28" s="35"/>
      <c r="E28" s="37">
        <v>155400</v>
      </c>
    </row>
    <row r="29" spans="1:5" x14ac:dyDescent="0.25">
      <c r="A29" s="24" t="s">
        <v>10</v>
      </c>
      <c r="B29" s="24"/>
      <c r="C29" s="24"/>
      <c r="D29" s="24"/>
      <c r="E29" s="25">
        <f>E25-E28</f>
        <v>28066.174500000023</v>
      </c>
    </row>
    <row r="30" spans="1:5" x14ac:dyDescent="0.25">
      <c r="A30" s="24"/>
      <c r="B30" s="24"/>
      <c r="C30" s="24"/>
      <c r="D30" s="24"/>
      <c r="E30" s="25">
        <f>IF(E29&lt;0,0,E29)</f>
        <v>28066.174500000023</v>
      </c>
    </row>
    <row r="31" spans="1:5" x14ac:dyDescent="0.25">
      <c r="A31" s="32" t="s">
        <v>11</v>
      </c>
      <c r="B31" s="24"/>
      <c r="C31" s="24"/>
      <c r="D31" s="24"/>
      <c r="E31" s="34">
        <f>E8+E30</f>
        <v>428066.17450000002</v>
      </c>
    </row>
    <row r="32" spans="1:5" x14ac:dyDescent="0.25">
      <c r="A32" s="1"/>
    </row>
  </sheetData>
  <sheetProtection sheet="1" objects="1" scenarios="1" selectLockedCells="1"/>
  <hyperlinks>
    <hyperlink ref="G2" r:id="rId1" xr:uid="{BD05D642-0BBD-44C5-A43D-311CD2865C1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4375-B3D4-41F3-AD12-788BA01F4097}">
  <dimension ref="A1:G32"/>
  <sheetViews>
    <sheetView showGridLines="0" zoomScaleNormal="100" workbookViewId="0">
      <selection activeCell="G1" sqref="G1:G2"/>
    </sheetView>
  </sheetViews>
  <sheetFormatPr defaultColWidth="11.425781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9.8554687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'2026'!D17*1.025</f>
        <v>75597.721874999988</v>
      </c>
      <c r="E17" s="25">
        <f>(D17-B17)*0.25</f>
        <v>18899.430468749997</v>
      </c>
    </row>
    <row r="18" spans="1:5" x14ac:dyDescent="0.25">
      <c r="A18" s="27" t="s">
        <v>45</v>
      </c>
      <c r="B18" s="30">
        <f>D17</f>
        <v>75597.721874999988</v>
      </c>
      <c r="C18" s="28" t="s">
        <v>47</v>
      </c>
      <c r="D18" s="29">
        <f>IF(E14&lt;('2026'!D18*1.025),E14, ('2026'!D18*1.025))</f>
        <v>234869.84531249991</v>
      </c>
      <c r="E18" s="25">
        <f>(D18-B18)*0.85</f>
        <v>135381.30492187492</v>
      </c>
    </row>
    <row r="19" spans="1:5" x14ac:dyDescent="0.25">
      <c r="A19" s="27" t="s">
        <v>46</v>
      </c>
      <c r="B19" s="30">
        <f>D18</f>
        <v>234869.84531249991</v>
      </c>
      <c r="C19" s="28" t="s">
        <v>47</v>
      </c>
      <c r="D19" s="31">
        <f>IF(E14&lt;B19,B19,E14)</f>
        <v>400000</v>
      </c>
      <c r="E19" s="25">
        <f>(D19-B19)*1.5</f>
        <v>247695.23203125014</v>
      </c>
    </row>
    <row r="20" spans="1:5" x14ac:dyDescent="0.25">
      <c r="A20" s="32" t="s">
        <v>7</v>
      </c>
      <c r="B20" s="24"/>
      <c r="C20" s="24"/>
      <c r="D20" s="24"/>
      <c r="E20" s="26">
        <f>E17+E18+E19</f>
        <v>401975.96742187504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'2026'!E22*1.025</f>
        <v>25199.240624999991</v>
      </c>
    </row>
    <row r="23" spans="1:5" x14ac:dyDescent="0.25">
      <c r="A23" s="24" t="s">
        <v>6</v>
      </c>
      <c r="B23" s="24"/>
      <c r="C23" s="24"/>
      <c r="D23" s="24"/>
      <c r="E23" s="25">
        <f>E20-E22</f>
        <v>376776.72679687507</v>
      </c>
    </row>
    <row r="24" spans="1:5" x14ac:dyDescent="0.25">
      <c r="A24" s="24" t="s">
        <v>22</v>
      </c>
      <c r="B24" s="24"/>
      <c r="C24" s="24"/>
      <c r="D24" s="24"/>
      <c r="E24" s="33">
        <v>56</v>
      </c>
    </row>
    <row r="25" spans="1:5" x14ac:dyDescent="0.25">
      <c r="A25" s="32" t="s">
        <v>8</v>
      </c>
      <c r="B25" s="24"/>
      <c r="C25" s="24"/>
      <c r="D25" s="24"/>
      <c r="E25" s="26">
        <f>E23/100*E24</f>
        <v>210994.96700625005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21</v>
      </c>
      <c r="B28" s="35"/>
      <c r="C28" s="35"/>
      <c r="D28" s="35"/>
      <c r="E28" s="37">
        <v>150800</v>
      </c>
    </row>
    <row r="29" spans="1:5" x14ac:dyDescent="0.25">
      <c r="A29" s="24" t="s">
        <v>10</v>
      </c>
      <c r="B29" s="24"/>
      <c r="C29" s="24"/>
      <c r="D29" s="24"/>
      <c r="E29" s="25">
        <f>E25-E28</f>
        <v>60194.967006250052</v>
      </c>
    </row>
    <row r="30" spans="1:5" x14ac:dyDescent="0.25">
      <c r="A30" s="24"/>
      <c r="B30" s="24"/>
      <c r="C30" s="24"/>
      <c r="D30" s="24"/>
      <c r="E30" s="25">
        <f>IF(E29&lt;0,0,E29)</f>
        <v>60194.967006250052</v>
      </c>
    </row>
    <row r="31" spans="1:5" x14ac:dyDescent="0.25">
      <c r="A31" s="32" t="s">
        <v>11</v>
      </c>
      <c r="B31" s="24"/>
      <c r="C31" s="24"/>
      <c r="D31" s="24"/>
      <c r="E31" s="34">
        <f>E8+E30</f>
        <v>460194.96700625005</v>
      </c>
    </row>
    <row r="32" spans="1:5" x14ac:dyDescent="0.25">
      <c r="B32" s="1"/>
    </row>
  </sheetData>
  <sheetProtection sheet="1" objects="1" scenarios="1" selectLockedCells="1"/>
  <hyperlinks>
    <hyperlink ref="G2" r:id="rId1" xr:uid="{2E39C980-0B2F-4DDC-84AD-FD3DE1309B57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A1F74-95A5-4520-A893-F81AE93B536D}">
  <dimension ref="A1:G32"/>
  <sheetViews>
    <sheetView showGridLines="0" workbookViewId="0">
      <selection activeCell="G1" sqref="G1:G2"/>
    </sheetView>
  </sheetViews>
  <sheetFormatPr defaultColWidth="11.8554687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1.85546875" bestFit="1" customWidth="1"/>
    <col min="7" max="7" width="76.7109375" bestFit="1" customWidth="1"/>
    <col min="8" max="8" width="12.710937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'2027'!D17*1.025</f>
        <v>77487.664921874981</v>
      </c>
      <c r="E17" s="25">
        <f>(D17-B17)*0.25</f>
        <v>19371.916230468745</v>
      </c>
    </row>
    <row r="18" spans="1:5" x14ac:dyDescent="0.25">
      <c r="A18" s="27" t="s">
        <v>45</v>
      </c>
      <c r="B18" s="30">
        <f>D17</f>
        <v>77487.664921874981</v>
      </c>
      <c r="C18" s="28" t="s">
        <v>47</v>
      </c>
      <c r="D18" s="29">
        <f>IF(E14&lt;('2027'!D18*1.025),E14, ('2027'!D18*1.025))</f>
        <v>240741.59144531237</v>
      </c>
      <c r="E18" s="25">
        <f>(D18-B18)*0.85</f>
        <v>138765.83754492176</v>
      </c>
    </row>
    <row r="19" spans="1:5" x14ac:dyDescent="0.25">
      <c r="A19" s="27" t="s">
        <v>46</v>
      </c>
      <c r="B19" s="30">
        <f>D18</f>
        <v>240741.59144531237</v>
      </c>
      <c r="C19" s="28" t="s">
        <v>47</v>
      </c>
      <c r="D19" s="31">
        <f>IF(E14&lt;B19,B19,E14)</f>
        <v>400000</v>
      </c>
      <c r="E19" s="25">
        <f>(D19-B19)*1.5</f>
        <v>238887.61283203145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397025.36660742195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'2027'!E22*1.025</f>
        <v>25829.22164062499</v>
      </c>
    </row>
    <row r="23" spans="1:5" x14ac:dyDescent="0.25">
      <c r="A23" s="24" t="s">
        <v>6</v>
      </c>
      <c r="B23" s="24"/>
      <c r="C23" s="24"/>
      <c r="D23" s="24"/>
      <c r="E23" s="25">
        <f>E20-E22</f>
        <v>371196.14496679697</v>
      </c>
    </row>
    <row r="24" spans="1:5" x14ac:dyDescent="0.25">
      <c r="A24" s="24" t="s">
        <v>25</v>
      </c>
      <c r="B24" s="24"/>
      <c r="C24" s="24"/>
      <c r="D24" s="24"/>
      <c r="E24" s="33">
        <v>64</v>
      </c>
    </row>
    <row r="25" spans="1:5" x14ac:dyDescent="0.25">
      <c r="A25" s="32" t="s">
        <v>8</v>
      </c>
      <c r="B25" s="24"/>
      <c r="C25" s="24"/>
      <c r="D25" s="24"/>
      <c r="E25" s="26">
        <f>E23/100*E24</f>
        <v>237565.53277875006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26</v>
      </c>
      <c r="B28" s="35"/>
      <c r="C28" s="35"/>
      <c r="D28" s="35"/>
      <c r="E28" s="37">
        <v>146200</v>
      </c>
    </row>
    <row r="29" spans="1:5" x14ac:dyDescent="0.25">
      <c r="A29" s="24" t="s">
        <v>10</v>
      </c>
      <c r="B29" s="24"/>
      <c r="C29" s="24"/>
      <c r="D29" s="24"/>
      <c r="E29" s="25">
        <f>E25-E28</f>
        <v>91365.532778750057</v>
      </c>
    </row>
    <row r="30" spans="1:5" x14ac:dyDescent="0.25">
      <c r="A30" s="24"/>
      <c r="B30" s="24"/>
      <c r="C30" s="24"/>
      <c r="D30" s="24"/>
      <c r="E30" s="25">
        <f>IF(E29&lt;0,0,E29)</f>
        <v>91365.532778750057</v>
      </c>
    </row>
    <row r="31" spans="1:5" x14ac:dyDescent="0.25">
      <c r="A31" s="32" t="s">
        <v>11</v>
      </c>
      <c r="B31" s="24"/>
      <c r="C31" s="24"/>
      <c r="D31" s="24"/>
      <c r="E31" s="34">
        <f>E8+E30</f>
        <v>491365.53277875006</v>
      </c>
    </row>
    <row r="32" spans="1:5" x14ac:dyDescent="0.25">
      <c r="A32" s="1"/>
    </row>
  </sheetData>
  <sheetProtection sheet="1" objects="1" scenarios="1" selectLockedCells="1"/>
  <hyperlinks>
    <hyperlink ref="G2" r:id="rId1" xr:uid="{ED737827-26AC-4F9B-858C-E20A2EBD27B2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66978-07DE-4D24-8EDE-2C1DF979831E}">
  <dimension ref="A1:G32"/>
  <sheetViews>
    <sheetView showGridLines="0" workbookViewId="0">
      <selection activeCell="G1" sqref="G1:G2"/>
    </sheetView>
  </sheetViews>
  <sheetFormatPr defaultColWidth="13.42578125" defaultRowHeight="15" x14ac:dyDescent="0.25"/>
  <cols>
    <col min="1" max="1" width="73.28515625" bestFit="1" customWidth="1"/>
    <col min="2" max="2" width="11.7109375" bestFit="1" customWidth="1"/>
    <col min="3" max="3" width="4.5703125" bestFit="1" customWidth="1"/>
    <col min="4" max="4" width="11.7109375" bestFit="1" customWidth="1"/>
    <col min="5" max="5" width="15.7109375" customWidth="1"/>
    <col min="6" max="6" width="12.85546875" bestFit="1" customWidth="1"/>
    <col min="7" max="7" width="76.7109375" bestFit="1" customWidth="1"/>
    <col min="8" max="8" width="12.140625" customWidth="1"/>
  </cols>
  <sheetData>
    <row r="1" spans="1:7" ht="26.25" x14ac:dyDescent="0.4">
      <c r="A1" s="13" t="s">
        <v>0</v>
      </c>
      <c r="G1" s="46" t="s">
        <v>49</v>
      </c>
    </row>
    <row r="2" spans="1:7" x14ac:dyDescent="0.25">
      <c r="A2" s="1"/>
      <c r="G2" s="14" t="s">
        <v>56</v>
      </c>
    </row>
    <row r="3" spans="1:7" ht="18.75" x14ac:dyDescent="0.3">
      <c r="A3" s="2" t="s">
        <v>41</v>
      </c>
      <c r="B3" s="3"/>
      <c r="C3" s="10"/>
    </row>
    <row r="4" spans="1:7" x14ac:dyDescent="0.25">
      <c r="A4" s="4" t="s">
        <v>42</v>
      </c>
      <c r="B4" s="40"/>
      <c r="C4" s="11"/>
      <c r="D4" s="8"/>
      <c r="G4" s="12" t="s">
        <v>50</v>
      </c>
    </row>
    <row r="5" spans="1:7" x14ac:dyDescent="0.25">
      <c r="A5" s="4" t="s">
        <v>43</v>
      </c>
      <c r="B5" s="41"/>
      <c r="C5" s="5"/>
      <c r="D5" s="8"/>
      <c r="G5" s="3" t="s">
        <v>52</v>
      </c>
    </row>
    <row r="6" spans="1:7" x14ac:dyDescent="0.25">
      <c r="A6" s="4" t="s">
        <v>44</v>
      </c>
      <c r="B6" s="15"/>
      <c r="C6" s="5"/>
      <c r="D6" s="8"/>
    </row>
    <row r="7" spans="1:7" x14ac:dyDescent="0.25">
      <c r="A7" s="1"/>
    </row>
    <row r="8" spans="1:7" x14ac:dyDescent="0.25">
      <c r="A8" s="41" t="s">
        <v>51</v>
      </c>
      <c r="B8" s="41"/>
      <c r="C8" s="41"/>
      <c r="D8" s="41"/>
      <c r="E8" s="42">
        <f>'2024'!E8</f>
        <v>400000</v>
      </c>
    </row>
    <row r="9" spans="1:7" x14ac:dyDescent="0.25">
      <c r="A9" s="24" t="s">
        <v>4</v>
      </c>
      <c r="B9" s="24"/>
      <c r="C9" s="24"/>
      <c r="D9" s="24"/>
      <c r="E9" s="25">
        <f>E8/100*20</f>
        <v>80000</v>
      </c>
    </row>
    <row r="10" spans="1:7" x14ac:dyDescent="0.25">
      <c r="A10" s="41" t="s">
        <v>12</v>
      </c>
      <c r="B10" s="41"/>
      <c r="C10" s="41"/>
      <c r="D10" s="41"/>
      <c r="E10" s="43">
        <f>'2023'!E10</f>
        <v>80</v>
      </c>
    </row>
    <row r="11" spans="1:7" x14ac:dyDescent="0.25">
      <c r="A11" s="35" t="s">
        <v>14</v>
      </c>
      <c r="B11" s="35"/>
      <c r="C11" s="35"/>
      <c r="D11" s="35"/>
      <c r="E11" s="36">
        <f>IF(E10&gt;45,45,E10)</f>
        <v>45</v>
      </c>
    </row>
    <row r="12" spans="1:7" x14ac:dyDescent="0.25">
      <c r="A12" s="35" t="s">
        <v>13</v>
      </c>
      <c r="B12" s="35"/>
      <c r="C12" s="35"/>
      <c r="D12" s="35"/>
      <c r="E12" s="37">
        <v>0</v>
      </c>
    </row>
    <row r="13" spans="1:7" x14ac:dyDescent="0.25">
      <c r="A13" s="24" t="s">
        <v>1</v>
      </c>
      <c r="B13" s="24"/>
      <c r="C13" s="24"/>
      <c r="D13" s="24"/>
      <c r="E13" s="25">
        <f>E11*E12</f>
        <v>0</v>
      </c>
    </row>
    <row r="14" spans="1:7" x14ac:dyDescent="0.25">
      <c r="A14" s="24" t="s">
        <v>2</v>
      </c>
      <c r="B14" s="24"/>
      <c r="C14" s="24"/>
      <c r="D14" s="24"/>
      <c r="E14" s="26">
        <f>E8-E13</f>
        <v>400000</v>
      </c>
    </row>
    <row r="15" spans="1:7" x14ac:dyDescent="0.25">
      <c r="A15" s="3"/>
      <c r="B15" s="3"/>
      <c r="C15" s="3"/>
      <c r="D15" s="3"/>
      <c r="E15" s="6"/>
    </row>
    <row r="16" spans="1:7" x14ac:dyDescent="0.25">
      <c r="A16" s="7" t="s">
        <v>3</v>
      </c>
      <c r="B16" s="3"/>
      <c r="C16" s="3"/>
      <c r="D16" s="3"/>
      <c r="E16" s="6"/>
    </row>
    <row r="17" spans="1:5" x14ac:dyDescent="0.25">
      <c r="A17" s="27" t="s">
        <v>48</v>
      </c>
      <c r="B17" s="28">
        <v>0</v>
      </c>
      <c r="C17" s="28" t="s">
        <v>47</v>
      </c>
      <c r="D17" s="29">
        <f>'2028'!D17*1.025</f>
        <v>79424.856544921844</v>
      </c>
      <c r="E17" s="25">
        <f>(D17-B17)*0.25</f>
        <v>19856.214136230461</v>
      </c>
    </row>
    <row r="18" spans="1:5" x14ac:dyDescent="0.25">
      <c r="A18" s="27" t="s">
        <v>45</v>
      </c>
      <c r="B18" s="30">
        <f>D17</f>
        <v>79424.856544921844</v>
      </c>
      <c r="C18" s="28" t="s">
        <v>47</v>
      </c>
      <c r="D18" s="29">
        <f>IF(E14&lt;('2028'!D18*1.025),E14, ('2028'!D18*1.025))</f>
        <v>246760.13123144515</v>
      </c>
      <c r="E18" s="25">
        <f>(D18-B18)*0.85</f>
        <v>142234.98348354481</v>
      </c>
    </row>
    <row r="19" spans="1:5" x14ac:dyDescent="0.25">
      <c r="A19" s="27" t="s">
        <v>46</v>
      </c>
      <c r="B19" s="30">
        <f>D18</f>
        <v>246760.13123144515</v>
      </c>
      <c r="C19" s="28" t="s">
        <v>47</v>
      </c>
      <c r="D19" s="31">
        <f>IF(E14&lt;B19,B19,E14)</f>
        <v>400000</v>
      </c>
      <c r="E19" s="25">
        <f>(D19-B19)*1.5</f>
        <v>229859.80315283226</v>
      </c>
    </row>
    <row r="20" spans="1:5" x14ac:dyDescent="0.25">
      <c r="A20" s="32" t="s">
        <v>7</v>
      </c>
      <c r="B20" s="24"/>
      <c r="C20" s="24"/>
      <c r="D20" s="24"/>
      <c r="E20" s="26">
        <f>E17+E18+E19</f>
        <v>391951.00077260751</v>
      </c>
    </row>
    <row r="21" spans="1:5" x14ac:dyDescent="0.25">
      <c r="A21" s="7"/>
      <c r="B21" s="3"/>
      <c r="C21" s="3"/>
      <c r="D21" s="3"/>
      <c r="E21" s="6"/>
    </row>
    <row r="22" spans="1:5" x14ac:dyDescent="0.25">
      <c r="A22" s="35" t="s">
        <v>5</v>
      </c>
      <c r="B22" s="35"/>
      <c r="C22" s="35"/>
      <c r="D22" s="35"/>
      <c r="E22" s="37">
        <f>'2028'!E22*1.025</f>
        <v>26474.952181640612</v>
      </c>
    </row>
    <row r="23" spans="1:5" x14ac:dyDescent="0.25">
      <c r="A23" s="24" t="s">
        <v>6</v>
      </c>
      <c r="B23" s="24"/>
      <c r="C23" s="24"/>
      <c r="D23" s="24"/>
      <c r="E23" s="25">
        <f>E20-E22</f>
        <v>365476.04859096691</v>
      </c>
    </row>
    <row r="24" spans="1:5" x14ac:dyDescent="0.25">
      <c r="A24" s="24" t="s">
        <v>28</v>
      </c>
      <c r="B24" s="24"/>
      <c r="C24" s="24"/>
      <c r="D24" s="24"/>
      <c r="E24" s="33">
        <v>72</v>
      </c>
    </row>
    <row r="25" spans="1:5" x14ac:dyDescent="0.25">
      <c r="A25" s="32" t="s">
        <v>8</v>
      </c>
      <c r="B25" s="24"/>
      <c r="C25" s="24"/>
      <c r="D25" s="24"/>
      <c r="E25" s="26">
        <f>E23/100*E24</f>
        <v>263142.75498549617</v>
      </c>
    </row>
    <row r="26" spans="1:5" x14ac:dyDescent="0.25">
      <c r="A26" s="3"/>
      <c r="B26" s="3"/>
      <c r="C26" s="3"/>
      <c r="D26" s="3"/>
      <c r="E26" s="6"/>
    </row>
    <row r="27" spans="1:5" x14ac:dyDescent="0.25">
      <c r="A27" s="7" t="s">
        <v>9</v>
      </c>
      <c r="B27" s="3"/>
      <c r="C27" s="3"/>
      <c r="D27" s="3"/>
      <c r="E27" s="6"/>
    </row>
    <row r="28" spans="1:5" x14ac:dyDescent="0.25">
      <c r="A28" s="35" t="s">
        <v>27</v>
      </c>
      <c r="B28" s="35"/>
      <c r="C28" s="35"/>
      <c r="D28" s="35"/>
      <c r="E28" s="37">
        <v>141600</v>
      </c>
    </row>
    <row r="29" spans="1:5" x14ac:dyDescent="0.25">
      <c r="A29" s="24" t="s">
        <v>10</v>
      </c>
      <c r="B29" s="24"/>
      <c r="C29" s="24"/>
      <c r="D29" s="24"/>
      <c r="E29" s="25">
        <f>E25-E28</f>
        <v>121542.75498549617</v>
      </c>
    </row>
    <row r="30" spans="1:5" x14ac:dyDescent="0.25">
      <c r="A30" s="24"/>
      <c r="B30" s="24"/>
      <c r="C30" s="24"/>
      <c r="D30" s="24"/>
      <c r="E30" s="25">
        <f>IF(E29&lt;0,0,E29)</f>
        <v>121542.75498549617</v>
      </c>
    </row>
    <row r="31" spans="1:5" x14ac:dyDescent="0.25">
      <c r="A31" s="32" t="s">
        <v>11</v>
      </c>
      <c r="B31" s="24"/>
      <c r="C31" s="24"/>
      <c r="D31" s="24"/>
      <c r="E31" s="34">
        <f>E8+E30</f>
        <v>521542.75498549617</v>
      </c>
    </row>
    <row r="32" spans="1:5" x14ac:dyDescent="0.25">
      <c r="A32" s="1"/>
    </row>
  </sheetData>
  <sheetProtection sheet="1" objects="1" scenarios="1" selectLockedCells="1"/>
  <hyperlinks>
    <hyperlink ref="G2" r:id="rId1" xr:uid="{A2F89647-7A95-4361-B8E8-3F353555A90E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Overblik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Perkild</dc:creator>
  <cp:lastModifiedBy>Lucas Perkild</cp:lastModifiedBy>
  <dcterms:created xsi:type="dcterms:W3CDTF">2015-06-05T18:19:34Z</dcterms:created>
  <dcterms:modified xsi:type="dcterms:W3CDTF">2023-12-04T13:34:32Z</dcterms:modified>
</cp:coreProperties>
</file>